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uth\paper\"/>
    </mc:Choice>
  </mc:AlternateContent>
  <bookViews>
    <workbookView xWindow="0" yWindow="0" windowWidth="10800" windowHeight="6950" activeTab="7"/>
  </bookViews>
  <sheets>
    <sheet name="graf1" sheetId="7" r:id="rId1"/>
    <sheet name="graf2" sheetId="9" r:id="rId2"/>
    <sheet name="graf3" sheetId="2" r:id="rId3"/>
    <sheet name="graf4" sheetId="3" r:id="rId4"/>
    <sheet name="graf5" sheetId="8" r:id="rId5"/>
    <sheet name="graf6" sheetId="10" r:id="rId6"/>
    <sheet name="graf7" sheetId="12" r:id="rId7"/>
    <sheet name="Datos" sheetId="1" r:id="rId8"/>
  </sheets>
  <externalReferences>
    <externalReference r:id="rId9"/>
    <externalReference r:id="rId10"/>
    <externalReference r:id="rId11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6" i="1" l="1"/>
  <c r="AU45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B29" i="1"/>
  <c r="I106" i="1"/>
  <c r="I105" i="1"/>
  <c r="AV39" i="1"/>
  <c r="AU39" i="1"/>
  <c r="B57" i="1"/>
  <c r="AU23" i="1"/>
  <c r="AU22" i="1"/>
  <c r="AU21" i="1"/>
  <c r="AU24" i="1" l="1"/>
  <c r="AN21" i="1" l="1"/>
  <c r="V21" i="1"/>
  <c r="V20" i="1"/>
  <c r="V19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C18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D56" i="1" l="1"/>
  <c r="E56" i="1" s="1"/>
  <c r="C56" i="1"/>
  <c r="C46" i="1"/>
  <c r="D46" i="1" s="1"/>
  <c r="AT28" i="1"/>
  <c r="AT64" i="1" s="1"/>
  <c r="AR28" i="1"/>
  <c r="AR64" i="1" s="1"/>
  <c r="AP28" i="1"/>
  <c r="AP64" i="1" s="1"/>
  <c r="AN28" i="1"/>
  <c r="AN64" i="1" s="1"/>
  <c r="AL28" i="1"/>
  <c r="AL64" i="1" s="1"/>
  <c r="AJ28" i="1"/>
  <c r="AJ64" i="1" s="1"/>
  <c r="AH28" i="1"/>
  <c r="AH64" i="1" s="1"/>
  <c r="AF28" i="1"/>
  <c r="AF64" i="1" s="1"/>
  <c r="AD28" i="1"/>
  <c r="AD64" i="1" s="1"/>
  <c r="AB28" i="1"/>
  <c r="AB64" i="1" s="1"/>
  <c r="Z28" i="1"/>
  <c r="Z64" i="1" s="1"/>
  <c r="X28" i="1"/>
  <c r="X64" i="1" s="1"/>
  <c r="V28" i="1"/>
  <c r="V64" i="1" s="1"/>
  <c r="T28" i="1"/>
  <c r="T64" i="1" s="1"/>
  <c r="R28" i="1"/>
  <c r="R64" i="1" s="1"/>
  <c r="P28" i="1"/>
  <c r="P64" i="1" s="1"/>
  <c r="N28" i="1"/>
  <c r="N64" i="1" s="1"/>
  <c r="L28" i="1"/>
  <c r="L64" i="1" s="1"/>
  <c r="J28" i="1"/>
  <c r="J64" i="1" s="1"/>
  <c r="H28" i="1"/>
  <c r="H64" i="1" s="1"/>
  <c r="F28" i="1"/>
  <c r="F64" i="1" s="1"/>
  <c r="D28" i="1"/>
  <c r="D64" i="1" s="1"/>
  <c r="B28" i="1"/>
  <c r="B64" i="1" s="1"/>
  <c r="AV27" i="1"/>
  <c r="AS28" i="1" s="1"/>
  <c r="AS64" i="1" s="1"/>
  <c r="AN25" i="1"/>
  <c r="AN24" i="1"/>
  <c r="AU14" i="1"/>
  <c r="AT14" i="1"/>
  <c r="AS14" i="1"/>
  <c r="AV11" i="1"/>
  <c r="AV34" i="1" s="1"/>
  <c r="AQ11" i="1"/>
  <c r="AP11" i="1"/>
  <c r="AP63" i="1" s="1"/>
  <c r="AO11" i="1"/>
  <c r="AO63" i="1" s="1"/>
  <c r="AN11" i="1"/>
  <c r="AN63" i="1" s="1"/>
  <c r="AM11" i="1"/>
  <c r="AL11" i="1"/>
  <c r="AL63" i="1" s="1"/>
  <c r="AK11" i="1"/>
  <c r="AK63" i="1" s="1"/>
  <c r="AJ11" i="1"/>
  <c r="AI11" i="1"/>
  <c r="AH11" i="1"/>
  <c r="AH63" i="1" s="1"/>
  <c r="AF11" i="1"/>
  <c r="AU10" i="1"/>
  <c r="AT10" i="1"/>
  <c r="AS10" i="1"/>
  <c r="AR10" i="1"/>
  <c r="AQ10" i="1"/>
  <c r="AN10" i="1"/>
  <c r="AO10" i="1" s="1"/>
  <c r="AP10" i="1" s="1"/>
  <c r="AI10" i="1"/>
  <c r="AJ10" i="1" s="1"/>
  <c r="AK10" i="1" s="1"/>
  <c r="AL10" i="1" s="1"/>
  <c r="AM10" i="1" s="1"/>
  <c r="AU9" i="1"/>
  <c r="AU11" i="1" s="1"/>
  <c r="AT9" i="1"/>
  <c r="AT11" i="1" s="1"/>
  <c r="AS9" i="1"/>
  <c r="AS11" i="1" s="1"/>
  <c r="AR9" i="1"/>
  <c r="AR11" i="1" s="1"/>
  <c r="AH9" i="1"/>
  <c r="AG9" i="1"/>
  <c r="AG11" i="1" s="1"/>
  <c r="AF9" i="1"/>
  <c r="AE9" i="1"/>
  <c r="AE5" i="1"/>
  <c r="AD5" i="1"/>
  <c r="AC5" i="1"/>
  <c r="AB5" i="1" s="1"/>
  <c r="AA5" i="1" s="1"/>
  <c r="Z5" i="1" s="1"/>
  <c r="Y5" i="1"/>
  <c r="X5" i="1" s="1"/>
  <c r="W5" i="1" s="1"/>
  <c r="V5" i="1" s="1"/>
  <c r="U5" i="1" s="1"/>
  <c r="T5" i="1" s="1"/>
  <c r="S5" i="1" s="1"/>
  <c r="R5" i="1" s="1"/>
  <c r="Q5" i="1" s="1"/>
  <c r="P5" i="1" s="1"/>
  <c r="O5" i="1" s="1"/>
  <c r="N5" i="1" s="1"/>
  <c r="M5" i="1" s="1"/>
  <c r="L5" i="1" s="1"/>
  <c r="K5" i="1" s="1"/>
  <c r="J5" i="1" s="1"/>
  <c r="I5" i="1" s="1"/>
  <c r="H5" i="1" s="1"/>
  <c r="G5" i="1" s="1"/>
  <c r="F5" i="1" s="1"/>
  <c r="E5" i="1" s="1"/>
  <c r="D5" i="1" s="1"/>
  <c r="C5" i="1" s="1"/>
  <c r="B5" i="1" s="1"/>
  <c r="AE4" i="1"/>
  <c r="AD4" i="1" s="1"/>
  <c r="AC4" i="1" s="1"/>
  <c r="AB4" i="1" s="1"/>
  <c r="AA4" i="1" s="1"/>
  <c r="Z4" i="1" s="1"/>
  <c r="Y4" i="1" s="1"/>
  <c r="X4" i="1" s="1"/>
  <c r="W4" i="1" s="1"/>
  <c r="V4" i="1" s="1"/>
  <c r="U4" i="1" s="1"/>
  <c r="T4" i="1" s="1"/>
  <c r="S4" i="1" s="1"/>
  <c r="R4" i="1" s="1"/>
  <c r="Q4" i="1" s="1"/>
  <c r="P4" i="1" s="1"/>
  <c r="O4" i="1" s="1"/>
  <c r="N4" i="1" s="1"/>
  <c r="M4" i="1" s="1"/>
  <c r="L4" i="1" s="1"/>
  <c r="K4" i="1" s="1"/>
  <c r="J4" i="1" s="1"/>
  <c r="I4" i="1" s="1"/>
  <c r="H4" i="1" s="1"/>
  <c r="G4" i="1" s="1"/>
  <c r="F4" i="1" s="1"/>
  <c r="E4" i="1" s="1"/>
  <c r="D4" i="1" s="1"/>
  <c r="C4" i="1" s="1"/>
  <c r="B4" i="1" s="1"/>
  <c r="AE3" i="1"/>
  <c r="AD3" i="1"/>
  <c r="AC3" i="1"/>
  <c r="AB3" i="1" s="1"/>
  <c r="AA3" i="1" s="1"/>
  <c r="Z3" i="1" s="1"/>
  <c r="Y3" i="1" s="1"/>
  <c r="X3" i="1" s="1"/>
  <c r="W3" i="1" s="1"/>
  <c r="V3" i="1" s="1"/>
  <c r="U3" i="1" s="1"/>
  <c r="T3" i="1" s="1"/>
  <c r="S3" i="1" s="1"/>
  <c r="R3" i="1" s="1"/>
  <c r="Q3" i="1" s="1"/>
  <c r="P3" i="1" s="1"/>
  <c r="O3" i="1" s="1"/>
  <c r="N3" i="1" s="1"/>
  <c r="M3" i="1" s="1"/>
  <c r="L3" i="1" s="1"/>
  <c r="K3" i="1" s="1"/>
  <c r="J3" i="1" s="1"/>
  <c r="I3" i="1" s="1"/>
  <c r="H3" i="1" s="1"/>
  <c r="G3" i="1" s="1"/>
  <c r="F3" i="1" s="1"/>
  <c r="E3" i="1" s="1"/>
  <c r="D3" i="1" s="1"/>
  <c r="C3" i="1" s="1"/>
  <c r="B3" i="1" s="1"/>
  <c r="E2" i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C2" i="1"/>
  <c r="D2" i="1" s="1"/>
  <c r="AV20" i="1" l="1"/>
  <c r="AU18" i="1"/>
  <c r="AV19" i="1"/>
  <c r="AU17" i="1"/>
  <c r="AS63" i="1"/>
  <c r="AS69" i="1" s="1"/>
  <c r="AS18" i="1"/>
  <c r="AS17" i="1"/>
  <c r="AR18" i="1"/>
  <c r="AR17" i="1"/>
  <c r="AT17" i="1"/>
  <c r="AT18" i="1"/>
  <c r="AH10" i="1"/>
  <c r="AG10" i="1" s="1"/>
  <c r="AF10" i="1" s="1"/>
  <c r="AE10" i="1" s="1"/>
  <c r="AD10" i="1" s="1"/>
  <c r="AC10" i="1" s="1"/>
  <c r="AB10" i="1" s="1"/>
  <c r="AA10" i="1" s="1"/>
  <c r="Z10" i="1" s="1"/>
  <c r="Y10" i="1" s="1"/>
  <c r="X10" i="1" s="1"/>
  <c r="W10" i="1" s="1"/>
  <c r="V10" i="1" s="1"/>
  <c r="AH16" i="1"/>
  <c r="AR63" i="1"/>
  <c r="AR34" i="1"/>
  <c r="E46" i="1"/>
  <c r="AG63" i="1"/>
  <c r="AT63" i="1"/>
  <c r="AT34" i="1"/>
  <c r="AH34" i="1"/>
  <c r="AP69" i="1"/>
  <c r="AU63" i="1"/>
  <c r="AU34" i="1"/>
  <c r="AJ63" i="1"/>
  <c r="AJ34" i="1"/>
  <c r="AN69" i="1"/>
  <c r="AN34" i="1"/>
  <c r="AE11" i="1"/>
  <c r="AD9" i="1"/>
  <c r="AF63" i="1"/>
  <c r="AF34" i="1"/>
  <c r="AS34" i="1"/>
  <c r="C28" i="1"/>
  <c r="C64" i="1" s="1"/>
  <c r="G28" i="1"/>
  <c r="G64" i="1" s="1"/>
  <c r="K28" i="1"/>
  <c r="K64" i="1" s="1"/>
  <c r="O28" i="1"/>
  <c r="O64" i="1" s="1"/>
  <c r="S28" i="1"/>
  <c r="S64" i="1" s="1"/>
  <c r="W28" i="1"/>
  <c r="W64" i="1" s="1"/>
  <c r="AA28" i="1"/>
  <c r="AA64" i="1" s="1"/>
  <c r="AE28" i="1"/>
  <c r="AE64" i="1" s="1"/>
  <c r="AI28" i="1"/>
  <c r="AI64" i="1" s="1"/>
  <c r="AM28" i="1"/>
  <c r="AM64" i="1" s="1"/>
  <c r="AQ28" i="1"/>
  <c r="AQ64" i="1" s="1"/>
  <c r="AU28" i="1"/>
  <c r="AU64" i="1" s="1"/>
  <c r="AH69" i="1"/>
  <c r="AP34" i="1"/>
  <c r="AL69" i="1"/>
  <c r="AI63" i="1"/>
  <c r="AI34" i="1"/>
  <c r="AM63" i="1"/>
  <c r="AM34" i="1"/>
  <c r="AQ63" i="1"/>
  <c r="E28" i="1"/>
  <c r="E64" i="1" s="1"/>
  <c r="I28" i="1"/>
  <c r="I64" i="1" s="1"/>
  <c r="M28" i="1"/>
  <c r="M64" i="1" s="1"/>
  <c r="Q28" i="1"/>
  <c r="Q64" i="1" s="1"/>
  <c r="U28" i="1"/>
  <c r="U64" i="1" s="1"/>
  <c r="Y28" i="1"/>
  <c r="Y64" i="1" s="1"/>
  <c r="AC28" i="1"/>
  <c r="AC64" i="1" s="1"/>
  <c r="AG28" i="1"/>
  <c r="AG64" i="1" s="1"/>
  <c r="AK28" i="1"/>
  <c r="AK64" i="1" s="1"/>
  <c r="AK69" i="1" s="1"/>
  <c r="AO28" i="1"/>
  <c r="AO64" i="1" s="1"/>
  <c r="AO69" i="1" s="1"/>
  <c r="AL34" i="1"/>
  <c r="F56" i="1"/>
  <c r="AF54" i="1" l="1"/>
  <c r="AF35" i="1"/>
  <c r="AN54" i="1"/>
  <c r="AN35" i="1"/>
  <c r="AT54" i="1"/>
  <c r="AT35" i="1"/>
  <c r="AU42" i="1"/>
  <c r="AU43" i="1" s="1"/>
  <c r="AU35" i="1"/>
  <c r="G56" i="1"/>
  <c r="AQ69" i="1"/>
  <c r="AI54" i="1"/>
  <c r="AI35" i="1"/>
  <c r="AP54" i="1"/>
  <c r="AP35" i="1"/>
  <c r="AO34" i="1"/>
  <c r="AD11" i="1"/>
  <c r="AC9" i="1"/>
  <c r="AU69" i="1"/>
  <c r="AG34" i="1"/>
  <c r="AR35" i="1"/>
  <c r="AR54" i="1"/>
  <c r="AM35" i="1"/>
  <c r="AM54" i="1"/>
  <c r="AJ69" i="1"/>
  <c r="F46" i="1"/>
  <c r="AM69" i="1"/>
  <c r="AF69" i="1"/>
  <c r="AT69" i="1"/>
  <c r="AL54" i="1"/>
  <c r="AL35" i="1"/>
  <c r="AQ34" i="1"/>
  <c r="AI69" i="1"/>
  <c r="AK34" i="1"/>
  <c r="AS54" i="1"/>
  <c r="AS35" i="1"/>
  <c r="AE63" i="1"/>
  <c r="AE34" i="1"/>
  <c r="AJ54" i="1"/>
  <c r="AJ35" i="1"/>
  <c r="AH54" i="1"/>
  <c r="AH35" i="1"/>
  <c r="AG69" i="1"/>
  <c r="AR69" i="1"/>
  <c r="AQ54" i="1" l="1"/>
  <c r="AQ35" i="1"/>
  <c r="AC11" i="1"/>
  <c r="AB9" i="1"/>
  <c r="AE54" i="1"/>
  <c r="AE35" i="1"/>
  <c r="AK54" i="1"/>
  <c r="AK35" i="1"/>
  <c r="G46" i="1"/>
  <c r="AG54" i="1"/>
  <c r="AG35" i="1"/>
  <c r="AD63" i="1"/>
  <c r="AD34" i="1"/>
  <c r="AE69" i="1"/>
  <c r="AO54" i="1"/>
  <c r="AO35" i="1"/>
  <c r="H56" i="1"/>
  <c r="AD54" i="1" l="1"/>
  <c r="AD35" i="1"/>
  <c r="AB11" i="1"/>
  <c r="AA9" i="1"/>
  <c r="I56" i="1"/>
  <c r="AD69" i="1"/>
  <c r="H46" i="1"/>
  <c r="AC63" i="1"/>
  <c r="AC34" i="1"/>
  <c r="AA11" i="1" l="1"/>
  <c r="Z9" i="1"/>
  <c r="AB63" i="1"/>
  <c r="AB34" i="1"/>
  <c r="AC69" i="1"/>
  <c r="AC54" i="1"/>
  <c r="AC35" i="1"/>
  <c r="I46" i="1"/>
  <c r="J56" i="1"/>
  <c r="K56" i="1" l="1"/>
  <c r="AB35" i="1"/>
  <c r="AB54" i="1"/>
  <c r="AB69" i="1"/>
  <c r="J46" i="1"/>
  <c r="Z11" i="1"/>
  <c r="Y9" i="1"/>
  <c r="AA63" i="1"/>
  <c r="AA34" i="1"/>
  <c r="AA69" i="1" l="1"/>
  <c r="K46" i="1"/>
  <c r="Y11" i="1"/>
  <c r="X9" i="1"/>
  <c r="AA54" i="1"/>
  <c r="AA35" i="1"/>
  <c r="Z63" i="1"/>
  <c r="Z34" i="1"/>
  <c r="L56" i="1"/>
  <c r="Z54" i="1" l="1"/>
  <c r="Z35" i="1"/>
  <c r="X11" i="1"/>
  <c r="W9" i="1"/>
  <c r="L46" i="1"/>
  <c r="Y63" i="1"/>
  <c r="Y34" i="1"/>
  <c r="M56" i="1"/>
  <c r="Z69" i="1"/>
  <c r="W11" i="1" l="1"/>
  <c r="V9" i="1"/>
  <c r="Y69" i="1"/>
  <c r="X63" i="1"/>
  <c r="X34" i="1"/>
  <c r="Y54" i="1"/>
  <c r="Y35" i="1"/>
  <c r="N56" i="1"/>
  <c r="M46" i="1"/>
  <c r="O56" i="1" l="1"/>
  <c r="X54" i="1"/>
  <c r="X35" i="1"/>
  <c r="V11" i="1"/>
  <c r="U9" i="1"/>
  <c r="N46" i="1"/>
  <c r="X69" i="1"/>
  <c r="W63" i="1"/>
  <c r="W34" i="1"/>
  <c r="U11" i="1" l="1"/>
  <c r="T9" i="1"/>
  <c r="W69" i="1"/>
  <c r="O46" i="1"/>
  <c r="W54" i="1"/>
  <c r="W35" i="1"/>
  <c r="V63" i="1"/>
  <c r="V34" i="1"/>
  <c r="P56" i="1"/>
  <c r="V54" i="1" l="1"/>
  <c r="V35" i="1"/>
  <c r="T11" i="1"/>
  <c r="S9" i="1"/>
  <c r="V69" i="1"/>
  <c r="P46" i="1"/>
  <c r="U63" i="1"/>
  <c r="U34" i="1"/>
  <c r="Q56" i="1"/>
  <c r="R56" i="1" l="1"/>
  <c r="Q46" i="1"/>
  <c r="U54" i="1"/>
  <c r="U35" i="1"/>
  <c r="AJ36" i="1"/>
  <c r="AN36" i="1"/>
  <c r="AF36" i="1"/>
  <c r="AU36" i="1"/>
  <c r="AS36" i="1"/>
  <c r="AH36" i="1"/>
  <c r="AI36" i="1"/>
  <c r="AP36" i="1"/>
  <c r="AR36" i="1"/>
  <c r="AL36" i="1"/>
  <c r="AT36" i="1"/>
  <c r="AM36" i="1"/>
  <c r="AK36" i="1"/>
  <c r="AQ36" i="1"/>
  <c r="AG36" i="1"/>
  <c r="AE36" i="1"/>
  <c r="AO36" i="1"/>
  <c r="AD36" i="1"/>
  <c r="AC36" i="1"/>
  <c r="AB36" i="1"/>
  <c r="AA36" i="1"/>
  <c r="Z36" i="1"/>
  <c r="Y36" i="1"/>
  <c r="X36" i="1"/>
  <c r="S11" i="1"/>
  <c r="R9" i="1"/>
  <c r="T63" i="1"/>
  <c r="T34" i="1"/>
  <c r="W36" i="1"/>
  <c r="U69" i="1"/>
  <c r="R11" i="1" l="1"/>
  <c r="Q9" i="1"/>
  <c r="S63" i="1"/>
  <c r="S34" i="1"/>
  <c r="R46" i="1"/>
  <c r="T54" i="1"/>
  <c r="T35" i="1"/>
  <c r="T69" i="1"/>
  <c r="S56" i="1"/>
  <c r="S54" i="1" l="1"/>
  <c r="S35" i="1"/>
  <c r="T56" i="1"/>
  <c r="S53" i="1"/>
  <c r="S69" i="1"/>
  <c r="S46" i="1"/>
  <c r="Q11" i="1"/>
  <c r="P9" i="1"/>
  <c r="R63" i="1"/>
  <c r="R34" i="1"/>
  <c r="R42" i="1" s="1"/>
  <c r="R43" i="1" s="1"/>
  <c r="S67" i="1" l="1"/>
  <c r="S72" i="1" s="1"/>
  <c r="R69" i="1"/>
  <c r="T46" i="1"/>
  <c r="S42" i="1"/>
  <c r="S43" i="1" s="1"/>
  <c r="U56" i="1"/>
  <c r="T53" i="1"/>
  <c r="R54" i="1"/>
  <c r="R35" i="1"/>
  <c r="R53" i="1"/>
  <c r="P11" i="1"/>
  <c r="O9" i="1"/>
  <c r="Q63" i="1"/>
  <c r="Q34" i="1"/>
  <c r="V56" i="1" l="1"/>
  <c r="U53" i="1"/>
  <c r="P63" i="1"/>
  <c r="P34" i="1"/>
  <c r="R67" i="1"/>
  <c r="R72" i="1" s="1"/>
  <c r="T67" i="1"/>
  <c r="T72" i="1" s="1"/>
  <c r="Q54" i="1"/>
  <c r="Q35" i="1"/>
  <c r="Q53" i="1"/>
  <c r="Q42" i="1"/>
  <c r="Q43" i="1" s="1"/>
  <c r="Q69" i="1"/>
  <c r="O11" i="1"/>
  <c r="N9" i="1"/>
  <c r="T42" i="1"/>
  <c r="T43" i="1" s="1"/>
  <c r="U46" i="1"/>
  <c r="N11" i="1" l="1"/>
  <c r="M9" i="1"/>
  <c r="P54" i="1"/>
  <c r="P35" i="1"/>
  <c r="P53" i="1"/>
  <c r="P42" i="1"/>
  <c r="P43" i="1" s="1"/>
  <c r="O63" i="1"/>
  <c r="O34" i="1"/>
  <c r="Q67" i="1"/>
  <c r="Q72" i="1" s="1"/>
  <c r="P69" i="1"/>
  <c r="U42" i="1"/>
  <c r="U43" i="1" s="1"/>
  <c r="V46" i="1"/>
  <c r="U67" i="1"/>
  <c r="U72" i="1" s="1"/>
  <c r="W56" i="1"/>
  <c r="V53" i="1"/>
  <c r="O54" i="1" l="1"/>
  <c r="O35" i="1"/>
  <c r="O53" i="1"/>
  <c r="O42" i="1"/>
  <c r="O43" i="1" s="1"/>
  <c r="O69" i="1"/>
  <c r="V67" i="1"/>
  <c r="V72" i="1" s="1"/>
  <c r="W46" i="1"/>
  <c r="V42" i="1"/>
  <c r="V43" i="1" s="1"/>
  <c r="M11" i="1"/>
  <c r="L9" i="1"/>
  <c r="W53" i="1"/>
  <c r="X56" i="1"/>
  <c r="P67" i="1"/>
  <c r="P72" i="1" s="1"/>
  <c r="N63" i="1"/>
  <c r="N34" i="1"/>
  <c r="O67" i="1" l="1"/>
  <c r="O72" i="1" s="1"/>
  <c r="N54" i="1"/>
  <c r="N35" i="1"/>
  <c r="N53" i="1"/>
  <c r="N42" i="1"/>
  <c r="N43" i="1" s="1"/>
  <c r="Y56" i="1"/>
  <c r="X53" i="1"/>
  <c r="L11" i="1"/>
  <c r="K9" i="1"/>
  <c r="M63" i="1"/>
  <c r="M34" i="1"/>
  <c r="N69" i="1"/>
  <c r="W67" i="1"/>
  <c r="W72" i="1" s="1"/>
  <c r="X46" i="1"/>
  <c r="W42" i="1"/>
  <c r="W43" i="1" s="1"/>
  <c r="M54" i="1" l="1"/>
  <c r="M35" i="1"/>
  <c r="M53" i="1"/>
  <c r="M42" i="1"/>
  <c r="M43" i="1" s="1"/>
  <c r="M69" i="1"/>
  <c r="K11" i="1"/>
  <c r="J9" i="1"/>
  <c r="X67" i="1"/>
  <c r="X72" i="1" s="1"/>
  <c r="Z56" i="1"/>
  <c r="Y53" i="1"/>
  <c r="Y46" i="1"/>
  <c r="X42" i="1"/>
  <c r="X43" i="1" s="1"/>
  <c r="L63" i="1"/>
  <c r="L34" i="1"/>
  <c r="N67" i="1"/>
  <c r="N72" i="1" s="1"/>
  <c r="L35" i="1" l="1"/>
  <c r="L54" i="1"/>
  <c r="L53" i="1"/>
  <c r="L42" i="1"/>
  <c r="L43" i="1" s="1"/>
  <c r="L69" i="1"/>
  <c r="AA56" i="1"/>
  <c r="Z53" i="1"/>
  <c r="M67" i="1"/>
  <c r="M72" i="1" s="1"/>
  <c r="Y67" i="1"/>
  <c r="Y72" i="1" s="1"/>
  <c r="I9" i="1"/>
  <c r="J11" i="1"/>
  <c r="K34" i="1"/>
  <c r="K63" i="1"/>
  <c r="Y42" i="1"/>
  <c r="Y43" i="1" s="1"/>
  <c r="Z46" i="1"/>
  <c r="K69" i="1" l="1"/>
  <c r="K54" i="1"/>
  <c r="K35" i="1"/>
  <c r="K53" i="1"/>
  <c r="K42" i="1"/>
  <c r="K43" i="1" s="1"/>
  <c r="AB56" i="1"/>
  <c r="AA53" i="1"/>
  <c r="L67" i="1"/>
  <c r="L72" i="1" s="1"/>
  <c r="AA46" i="1"/>
  <c r="Z42" i="1"/>
  <c r="Z43" i="1" s="1"/>
  <c r="J34" i="1"/>
  <c r="J63" i="1"/>
  <c r="Z67" i="1"/>
  <c r="Z72" i="1" s="1"/>
  <c r="I11" i="1"/>
  <c r="H9" i="1"/>
  <c r="AB46" i="1" l="1"/>
  <c r="AA42" i="1"/>
  <c r="AA43" i="1" s="1"/>
  <c r="AB53" i="1"/>
  <c r="AC56" i="1"/>
  <c r="H11" i="1"/>
  <c r="G9" i="1"/>
  <c r="J69" i="1"/>
  <c r="AA67" i="1"/>
  <c r="AA72" i="1" s="1"/>
  <c r="I63" i="1"/>
  <c r="I34" i="1"/>
  <c r="J54" i="1"/>
  <c r="J35" i="1"/>
  <c r="J53" i="1"/>
  <c r="J42" i="1"/>
  <c r="J43" i="1" s="1"/>
  <c r="K67" i="1"/>
  <c r="K72" i="1" s="1"/>
  <c r="AD56" i="1" l="1"/>
  <c r="AC53" i="1"/>
  <c r="I69" i="1"/>
  <c r="AB67" i="1"/>
  <c r="AB72" i="1" s="1"/>
  <c r="G11" i="1"/>
  <c r="F9" i="1"/>
  <c r="I54" i="1"/>
  <c r="I35" i="1"/>
  <c r="I53" i="1"/>
  <c r="I42" i="1"/>
  <c r="I43" i="1" s="1"/>
  <c r="J67" i="1"/>
  <c r="J72" i="1" s="1"/>
  <c r="H63" i="1"/>
  <c r="H34" i="1"/>
  <c r="AB42" i="1"/>
  <c r="AB43" i="1" s="1"/>
  <c r="AC46" i="1"/>
  <c r="H54" i="1" l="1"/>
  <c r="H35" i="1"/>
  <c r="H53" i="1"/>
  <c r="H42" i="1"/>
  <c r="H43" i="1" s="1"/>
  <c r="F11" i="1"/>
  <c r="E9" i="1"/>
  <c r="H69" i="1"/>
  <c r="I67" i="1"/>
  <c r="I72" i="1" s="1"/>
  <c r="G63" i="1"/>
  <c r="G34" i="1"/>
  <c r="AC42" i="1"/>
  <c r="AC43" i="1" s="1"/>
  <c r="AD46" i="1"/>
  <c r="AC67" i="1"/>
  <c r="AC72" i="1" s="1"/>
  <c r="AE56" i="1"/>
  <c r="AD53" i="1"/>
  <c r="G35" i="1" l="1"/>
  <c r="G54" i="1"/>
  <c r="G53" i="1"/>
  <c r="G42" i="1"/>
  <c r="G43" i="1" s="1"/>
  <c r="G69" i="1"/>
  <c r="H67" i="1"/>
  <c r="H72" i="1" s="1"/>
  <c r="AD67" i="1"/>
  <c r="AD72" i="1" s="1"/>
  <c r="E11" i="1"/>
  <c r="D9" i="1"/>
  <c r="AE46" i="1"/>
  <c r="AD42" i="1"/>
  <c r="AD43" i="1" s="1"/>
  <c r="AF56" i="1"/>
  <c r="AE53" i="1"/>
  <c r="F63" i="1"/>
  <c r="F34" i="1"/>
  <c r="AE67" i="1" l="1"/>
  <c r="AE72" i="1" s="1"/>
  <c r="D11" i="1"/>
  <c r="C9" i="1"/>
  <c r="AF53" i="1"/>
  <c r="AG56" i="1"/>
  <c r="E63" i="1"/>
  <c r="E34" i="1"/>
  <c r="G67" i="1"/>
  <c r="G72" i="1" s="1"/>
  <c r="F54" i="1"/>
  <c r="F35" i="1"/>
  <c r="F53" i="1"/>
  <c r="F42" i="1"/>
  <c r="F43" i="1" s="1"/>
  <c r="F69" i="1"/>
  <c r="AF46" i="1"/>
  <c r="AE42" i="1"/>
  <c r="AE43" i="1" s="1"/>
  <c r="E54" i="1" l="1"/>
  <c r="E35" i="1"/>
  <c r="E53" i="1"/>
  <c r="E42" i="1"/>
  <c r="E43" i="1" s="1"/>
  <c r="C11" i="1"/>
  <c r="B9" i="1"/>
  <c r="B11" i="1" s="1"/>
  <c r="E69" i="1"/>
  <c r="D63" i="1"/>
  <c r="D34" i="1"/>
  <c r="AG53" i="1"/>
  <c r="AH56" i="1"/>
  <c r="AG46" i="1"/>
  <c r="AF42" i="1"/>
  <c r="AF43" i="1" s="1"/>
  <c r="F67" i="1"/>
  <c r="F72" i="1" s="1"/>
  <c r="AF67" i="1"/>
  <c r="AF72" i="1" s="1"/>
  <c r="AG67" i="1" l="1"/>
  <c r="AG72" i="1" s="1"/>
  <c r="D54" i="1"/>
  <c r="D35" i="1"/>
  <c r="D53" i="1"/>
  <c r="D42" i="1"/>
  <c r="D43" i="1" s="1"/>
  <c r="B63" i="1"/>
  <c r="B34" i="1"/>
  <c r="AI56" i="1"/>
  <c r="AH53" i="1"/>
  <c r="E67" i="1"/>
  <c r="E72" i="1" s="1"/>
  <c r="AG42" i="1"/>
  <c r="AG43" i="1" s="1"/>
  <c r="AH46" i="1"/>
  <c r="D69" i="1"/>
  <c r="C63" i="1"/>
  <c r="C34" i="1"/>
  <c r="C53" i="1" l="1"/>
  <c r="C35" i="1"/>
  <c r="C42" i="1"/>
  <c r="C43" i="1" s="1"/>
  <c r="B53" i="1"/>
  <c r="AU52" i="1"/>
  <c r="B42" i="1"/>
  <c r="B35" i="1"/>
  <c r="B33" i="1"/>
  <c r="B69" i="1"/>
  <c r="AI46" i="1"/>
  <c r="AH42" i="1"/>
  <c r="AH43" i="1" s="1"/>
  <c r="AH67" i="1"/>
  <c r="AH72" i="1" s="1"/>
  <c r="C69" i="1"/>
  <c r="AJ56" i="1"/>
  <c r="AI53" i="1"/>
  <c r="D67" i="1"/>
  <c r="D72" i="1" s="1"/>
  <c r="D55" i="1"/>
  <c r="B32" i="1" l="1"/>
  <c r="C33" i="1"/>
  <c r="B37" i="1"/>
  <c r="AK56" i="1"/>
  <c r="AJ53" i="1"/>
  <c r="B67" i="1"/>
  <c r="B72" i="1" s="1"/>
  <c r="B55" i="1"/>
  <c r="S55" i="1"/>
  <c r="R55" i="1"/>
  <c r="T55" i="1"/>
  <c r="Q55" i="1"/>
  <c r="U55" i="1"/>
  <c r="V55" i="1"/>
  <c r="P55" i="1"/>
  <c r="O55" i="1"/>
  <c r="W55" i="1"/>
  <c r="N55" i="1"/>
  <c r="X55" i="1"/>
  <c r="Y55" i="1"/>
  <c r="M55" i="1"/>
  <c r="Z55" i="1"/>
  <c r="L55" i="1"/>
  <c r="AA55" i="1"/>
  <c r="K55" i="1"/>
  <c r="AB55" i="1"/>
  <c r="J55" i="1"/>
  <c r="I55" i="1"/>
  <c r="AC55" i="1"/>
  <c r="AD55" i="1"/>
  <c r="H55" i="1"/>
  <c r="AE55" i="1"/>
  <c r="G55" i="1"/>
  <c r="AF55" i="1"/>
  <c r="F55" i="1"/>
  <c r="E55" i="1"/>
  <c r="AG55" i="1"/>
  <c r="AJ46" i="1"/>
  <c r="AI42" i="1"/>
  <c r="AI43" i="1" s="1"/>
  <c r="AI67" i="1"/>
  <c r="AI72" i="1" s="1"/>
  <c r="AI55" i="1"/>
  <c r="AH55" i="1"/>
  <c r="B43" i="1"/>
  <c r="B41" i="1"/>
  <c r="AU57" i="1"/>
  <c r="C67" i="1"/>
  <c r="C72" i="1" s="1"/>
  <c r="C55" i="1"/>
  <c r="AL56" i="1" l="1"/>
  <c r="AK53" i="1"/>
  <c r="AJ42" i="1"/>
  <c r="AK46" i="1"/>
  <c r="C32" i="1"/>
  <c r="D33" i="1"/>
  <c r="C37" i="1"/>
  <c r="B45" i="1"/>
  <c r="C41" i="1"/>
  <c r="B44" i="1"/>
  <c r="B48" i="1" s="1"/>
  <c r="AJ67" i="1"/>
  <c r="AJ72" i="1" s="1"/>
  <c r="AJ55" i="1"/>
  <c r="AK67" i="1" l="1"/>
  <c r="AK72" i="1" s="1"/>
  <c r="AK55" i="1"/>
  <c r="AJ43" i="1"/>
  <c r="E33" i="1"/>
  <c r="D37" i="1"/>
  <c r="D32" i="1"/>
  <c r="C44" i="1"/>
  <c r="C48" i="1" s="1"/>
  <c r="C45" i="1"/>
  <c r="D41" i="1"/>
  <c r="AM56" i="1"/>
  <c r="AL53" i="1"/>
  <c r="AK42" i="1"/>
  <c r="AK43" i="1" s="1"/>
  <c r="AL46" i="1"/>
  <c r="AN56" i="1" l="1"/>
  <c r="AM53" i="1"/>
  <c r="AM46" i="1"/>
  <c r="AL42" i="1"/>
  <c r="D44" i="1"/>
  <c r="D48" i="1" s="1"/>
  <c r="D45" i="1"/>
  <c r="E41" i="1"/>
  <c r="AL67" i="1"/>
  <c r="AL72" i="1" s="1"/>
  <c r="AL55" i="1"/>
  <c r="E37" i="1"/>
  <c r="E32" i="1"/>
  <c r="F33" i="1"/>
  <c r="F37" i="1" l="1"/>
  <c r="F32" i="1"/>
  <c r="G33" i="1"/>
  <c r="AN46" i="1"/>
  <c r="AM42" i="1"/>
  <c r="AM43" i="1" s="1"/>
  <c r="AM55" i="1"/>
  <c r="AM67" i="1"/>
  <c r="AM72" i="1" s="1"/>
  <c r="AL43" i="1"/>
  <c r="E45" i="1"/>
  <c r="F41" i="1"/>
  <c r="E44" i="1"/>
  <c r="E48" i="1" s="1"/>
  <c r="AN53" i="1"/>
  <c r="AO56" i="1"/>
  <c r="F45" i="1" l="1"/>
  <c r="G41" i="1"/>
  <c r="F44" i="1"/>
  <c r="F48" i="1" s="1"/>
  <c r="G32" i="1"/>
  <c r="H33" i="1"/>
  <c r="G37" i="1"/>
  <c r="AP56" i="1"/>
  <c r="AO53" i="1"/>
  <c r="AO46" i="1"/>
  <c r="AN42" i="1"/>
  <c r="AN67" i="1"/>
  <c r="AN72" i="1" s="1"/>
  <c r="AN55" i="1"/>
  <c r="AO67" i="1" l="1"/>
  <c r="AO72" i="1" s="1"/>
  <c r="AO55" i="1"/>
  <c r="AN43" i="1"/>
  <c r="G44" i="1"/>
  <c r="G48" i="1" s="1"/>
  <c r="H41" i="1"/>
  <c r="G45" i="1"/>
  <c r="AP53" i="1"/>
  <c r="AQ56" i="1"/>
  <c r="AO42" i="1"/>
  <c r="AO43" i="1" s="1"/>
  <c r="AP46" i="1"/>
  <c r="H37" i="1"/>
  <c r="I33" i="1"/>
  <c r="H32" i="1"/>
  <c r="AP67" i="1" l="1"/>
  <c r="AP72" i="1" s="1"/>
  <c r="AP55" i="1"/>
  <c r="H44" i="1"/>
  <c r="H48" i="1" s="1"/>
  <c r="H45" i="1"/>
  <c r="I41" i="1"/>
  <c r="AQ46" i="1"/>
  <c r="AP42" i="1"/>
  <c r="I37" i="1"/>
  <c r="I32" i="1"/>
  <c r="J33" i="1"/>
  <c r="AR56" i="1"/>
  <c r="AQ53" i="1"/>
  <c r="AP43" i="1" l="1"/>
  <c r="AR46" i="1"/>
  <c r="AQ42" i="1"/>
  <c r="AQ43" i="1" s="1"/>
  <c r="AQ67" i="1"/>
  <c r="AQ72" i="1" s="1"/>
  <c r="AQ55" i="1"/>
  <c r="AR53" i="1"/>
  <c r="AS56" i="1"/>
  <c r="J32" i="1"/>
  <c r="J37" i="1"/>
  <c r="K33" i="1"/>
  <c r="I45" i="1"/>
  <c r="J41" i="1"/>
  <c r="I44" i="1"/>
  <c r="I48" i="1" s="1"/>
  <c r="AT56" i="1" l="1"/>
  <c r="AS53" i="1"/>
  <c r="K32" i="1"/>
  <c r="K37" i="1"/>
  <c r="L33" i="1"/>
  <c r="AR67" i="1"/>
  <c r="AR72" i="1" s="1"/>
  <c r="AR55" i="1"/>
  <c r="AR42" i="1"/>
  <c r="AR43" i="1" s="1"/>
  <c r="J45" i="1"/>
  <c r="K41" i="1"/>
  <c r="J44" i="1"/>
  <c r="J48" i="1" s="1"/>
  <c r="K44" i="1" l="1"/>
  <c r="K48" i="1" s="1"/>
  <c r="K45" i="1"/>
  <c r="L41" i="1"/>
  <c r="AS67" i="1"/>
  <c r="AS72" i="1" s="1"/>
  <c r="AS55" i="1"/>
  <c r="AS42" i="1"/>
  <c r="AS43" i="1" s="1"/>
  <c r="AT46" i="1"/>
  <c r="L37" i="1"/>
  <c r="M33" i="1"/>
  <c r="L32" i="1"/>
  <c r="AU56" i="1"/>
  <c r="AU53" i="1" s="1"/>
  <c r="AT53" i="1"/>
  <c r="AT55" i="1" l="1"/>
  <c r="AT67" i="1"/>
  <c r="AT72" i="1" s="1"/>
  <c r="AU55" i="1"/>
  <c r="AU54" i="1"/>
  <c r="AU67" i="1"/>
  <c r="AU72" i="1" s="1"/>
  <c r="AT52" i="1"/>
  <c r="AV56" i="1"/>
  <c r="AW57" i="1" s="1"/>
  <c r="AU46" i="1"/>
  <c r="AT42" i="1"/>
  <c r="L44" i="1"/>
  <c r="L48" i="1" s="1"/>
  <c r="L45" i="1"/>
  <c r="M41" i="1"/>
  <c r="M37" i="1"/>
  <c r="M32" i="1"/>
  <c r="N33" i="1"/>
  <c r="N37" i="1" l="1"/>
  <c r="N32" i="1"/>
  <c r="O33" i="1"/>
  <c r="M45" i="1"/>
  <c r="N41" i="1"/>
  <c r="M44" i="1"/>
  <c r="M48" i="1" s="1"/>
  <c r="AT57" i="1"/>
  <c r="AS52" i="1"/>
  <c r="AT43" i="1"/>
  <c r="AV42" i="1"/>
  <c r="O32" i="1" l="1"/>
  <c r="P33" i="1"/>
  <c r="O37" i="1"/>
  <c r="AS57" i="1"/>
  <c r="AR52" i="1"/>
  <c r="N45" i="1"/>
  <c r="O41" i="1"/>
  <c r="N44" i="1"/>
  <c r="N48" i="1" s="1"/>
  <c r="O44" i="1" l="1"/>
  <c r="O48" i="1" s="1"/>
  <c r="P41" i="1"/>
  <c r="O45" i="1"/>
  <c r="P37" i="1"/>
  <c r="Q33" i="1"/>
  <c r="P32" i="1"/>
  <c r="AR57" i="1"/>
  <c r="AQ52" i="1"/>
  <c r="AQ57" i="1" l="1"/>
  <c r="AP52" i="1"/>
  <c r="P44" i="1"/>
  <c r="P48" i="1" s="1"/>
  <c r="P45" i="1"/>
  <c r="Q41" i="1"/>
  <c r="Q37" i="1"/>
  <c r="Q32" i="1"/>
  <c r="R33" i="1"/>
  <c r="AP57" i="1" l="1"/>
  <c r="AO52" i="1"/>
  <c r="Q45" i="1"/>
  <c r="R41" i="1"/>
  <c r="Q44" i="1"/>
  <c r="Q48" i="1" s="1"/>
  <c r="R32" i="1"/>
  <c r="R37" i="1"/>
  <c r="S33" i="1"/>
  <c r="AO57" i="1" l="1"/>
  <c r="AN52" i="1"/>
  <c r="S32" i="1"/>
  <c r="S37" i="1"/>
  <c r="T33" i="1"/>
  <c r="R45" i="1"/>
  <c r="S41" i="1"/>
  <c r="R44" i="1"/>
  <c r="R48" i="1" s="1"/>
  <c r="S44" i="1" l="1"/>
  <c r="S48" i="1" s="1"/>
  <c r="S45" i="1"/>
  <c r="T41" i="1"/>
  <c r="AM52" i="1"/>
  <c r="AN57" i="1"/>
  <c r="T37" i="1"/>
  <c r="U33" i="1"/>
  <c r="T32" i="1"/>
  <c r="T44" i="1" l="1"/>
  <c r="T48" i="1" s="1"/>
  <c r="T45" i="1"/>
  <c r="U41" i="1"/>
  <c r="U37" i="1"/>
  <c r="U32" i="1"/>
  <c r="V33" i="1"/>
  <c r="AM57" i="1"/>
  <c r="AL52" i="1"/>
  <c r="U45" i="1" l="1"/>
  <c r="V41" i="1"/>
  <c r="U44" i="1"/>
  <c r="U48" i="1" s="1"/>
  <c r="V37" i="1"/>
  <c r="V32" i="1"/>
  <c r="W33" i="1"/>
  <c r="AL57" i="1"/>
  <c r="AK52" i="1"/>
  <c r="V45" i="1" l="1"/>
  <c r="W41" i="1"/>
  <c r="V44" i="1"/>
  <c r="V48" i="1" s="1"/>
  <c r="W32" i="1"/>
  <c r="X33" i="1"/>
  <c r="W37" i="1"/>
  <c r="AK57" i="1"/>
  <c r="AJ52" i="1"/>
  <c r="W44" i="1" l="1"/>
  <c r="W48" i="1" s="1"/>
  <c r="X41" i="1"/>
  <c r="W45" i="1"/>
  <c r="AJ57" i="1"/>
  <c r="AI52" i="1"/>
  <c r="Y33" i="1"/>
  <c r="X37" i="1"/>
  <c r="X32" i="1"/>
  <c r="Y37" i="1" l="1"/>
  <c r="Z33" i="1"/>
  <c r="Y32" i="1"/>
  <c r="X44" i="1"/>
  <c r="X48" i="1" s="1"/>
  <c r="X45" i="1"/>
  <c r="Y41" i="1"/>
  <c r="AI57" i="1"/>
  <c r="AH52" i="1"/>
  <c r="AH57" i="1" l="1"/>
  <c r="AG52" i="1"/>
  <c r="Y45" i="1"/>
  <c r="Z41" i="1"/>
  <c r="Y44" i="1"/>
  <c r="Y48" i="1" s="1"/>
  <c r="Z32" i="1"/>
  <c r="Z37" i="1"/>
  <c r="AA33" i="1"/>
  <c r="AG57" i="1" l="1"/>
  <c r="AF52" i="1"/>
  <c r="AA32" i="1"/>
  <c r="AA37" i="1"/>
  <c r="AB33" i="1"/>
  <c r="AA41" i="1"/>
  <c r="Z45" i="1"/>
  <c r="Z44" i="1"/>
  <c r="Z48" i="1" s="1"/>
  <c r="AA45" i="1" l="1"/>
  <c r="AA44" i="1"/>
  <c r="AA48" i="1" s="1"/>
  <c r="AB41" i="1"/>
  <c r="AF57" i="1"/>
  <c r="AE52" i="1"/>
  <c r="AC33" i="1"/>
  <c r="AB37" i="1"/>
  <c r="AB32" i="1"/>
  <c r="AE57" i="1" l="1"/>
  <c r="AD52" i="1"/>
  <c r="AC37" i="1"/>
  <c r="AD33" i="1"/>
  <c r="AC32" i="1"/>
  <c r="AB44" i="1"/>
  <c r="AB48" i="1" s="1"/>
  <c r="AC41" i="1"/>
  <c r="AB45" i="1"/>
  <c r="AD57" i="1" l="1"/>
  <c r="AC52" i="1"/>
  <c r="AC45" i="1"/>
  <c r="AD41" i="1"/>
  <c r="AC44" i="1"/>
  <c r="AC48" i="1" s="1"/>
  <c r="AD37" i="1"/>
  <c r="AE33" i="1"/>
  <c r="AD32" i="1"/>
  <c r="AC57" i="1" l="1"/>
  <c r="AB52" i="1"/>
  <c r="AE32" i="1"/>
  <c r="AE37" i="1"/>
  <c r="AF33" i="1"/>
  <c r="AE41" i="1"/>
  <c r="AD45" i="1"/>
  <c r="AD44" i="1"/>
  <c r="AD48" i="1" s="1"/>
  <c r="AE45" i="1" l="1"/>
  <c r="AE44" i="1"/>
  <c r="AE48" i="1" s="1"/>
  <c r="AF41" i="1"/>
  <c r="AG33" i="1"/>
  <c r="AF37" i="1"/>
  <c r="AF32" i="1"/>
  <c r="AA52" i="1"/>
  <c r="AB57" i="1"/>
  <c r="AA57" i="1" l="1"/>
  <c r="Z52" i="1"/>
  <c r="AF45" i="1"/>
  <c r="AF44" i="1"/>
  <c r="AF48" i="1" s="1"/>
  <c r="AG41" i="1"/>
  <c r="AG37" i="1"/>
  <c r="AH33" i="1"/>
  <c r="AG32" i="1"/>
  <c r="AI33" i="1" l="1"/>
  <c r="AH32" i="1"/>
  <c r="AH37" i="1"/>
  <c r="Z57" i="1"/>
  <c r="Y52" i="1"/>
  <c r="AG45" i="1"/>
  <c r="AH41" i="1"/>
  <c r="AG44" i="1"/>
  <c r="AG48" i="1" s="1"/>
  <c r="AI41" i="1" l="1"/>
  <c r="AH44" i="1"/>
  <c r="AH48" i="1" s="1"/>
  <c r="AH45" i="1"/>
  <c r="Y57" i="1"/>
  <c r="X52" i="1"/>
  <c r="AJ33" i="1"/>
  <c r="AI32" i="1"/>
  <c r="AI37" i="1"/>
  <c r="AK33" i="1" l="1"/>
  <c r="AJ37" i="1"/>
  <c r="AJ32" i="1"/>
  <c r="X57" i="1"/>
  <c r="W52" i="1"/>
  <c r="AI44" i="1"/>
  <c r="AI48" i="1" s="1"/>
  <c r="AI45" i="1"/>
  <c r="AJ41" i="1"/>
  <c r="AJ45" i="1" l="1"/>
  <c r="AJ44" i="1"/>
  <c r="AJ48" i="1" s="1"/>
  <c r="AK41" i="1"/>
  <c r="W57" i="1"/>
  <c r="V52" i="1"/>
  <c r="AK37" i="1"/>
  <c r="AK32" i="1"/>
  <c r="AL33" i="1"/>
  <c r="AK45" i="1" l="1"/>
  <c r="AL41" i="1"/>
  <c r="AK44" i="1"/>
  <c r="AK48" i="1" s="1"/>
  <c r="V57" i="1"/>
  <c r="U52" i="1"/>
  <c r="AL37" i="1"/>
  <c r="AL32" i="1"/>
  <c r="AM33" i="1"/>
  <c r="U57" i="1" l="1"/>
  <c r="T52" i="1"/>
  <c r="AM41" i="1"/>
  <c r="AL45" i="1"/>
  <c r="AL44" i="1"/>
  <c r="AL48" i="1" s="1"/>
  <c r="AM32" i="1"/>
  <c r="AN33" i="1"/>
  <c r="AM37" i="1"/>
  <c r="AO33" i="1" l="1"/>
  <c r="AN37" i="1"/>
  <c r="AN32" i="1"/>
  <c r="T57" i="1"/>
  <c r="S52" i="1"/>
  <c r="AM45" i="1"/>
  <c r="AM44" i="1"/>
  <c r="AM48" i="1" s="1"/>
  <c r="AN41" i="1"/>
  <c r="R52" i="1" l="1"/>
  <c r="S57" i="1"/>
  <c r="AN45" i="1"/>
  <c r="AN44" i="1"/>
  <c r="AN48" i="1" s="1"/>
  <c r="AO41" i="1"/>
  <c r="AO37" i="1"/>
  <c r="AP33" i="1"/>
  <c r="AO32" i="1"/>
  <c r="AP32" i="1" l="1"/>
  <c r="AP37" i="1"/>
  <c r="AQ33" i="1"/>
  <c r="AO45" i="1"/>
  <c r="AP41" i="1"/>
  <c r="AO44" i="1"/>
  <c r="AO48" i="1" s="1"/>
  <c r="Q52" i="1"/>
  <c r="R57" i="1"/>
  <c r="Q57" i="1" l="1"/>
  <c r="P52" i="1"/>
  <c r="AQ32" i="1"/>
  <c r="AQ37" i="1"/>
  <c r="AR33" i="1"/>
  <c r="AQ41" i="1"/>
  <c r="AP44" i="1"/>
  <c r="AP48" i="1" s="1"/>
  <c r="AP45" i="1"/>
  <c r="AQ44" i="1" l="1"/>
  <c r="AQ48" i="1" s="1"/>
  <c r="AQ45" i="1"/>
  <c r="AR41" i="1"/>
  <c r="P57" i="1"/>
  <c r="O52" i="1"/>
  <c r="AS33" i="1"/>
  <c r="AR37" i="1"/>
  <c r="AR32" i="1"/>
  <c r="O57" i="1" l="1"/>
  <c r="N52" i="1"/>
  <c r="AS37" i="1"/>
  <c r="AT33" i="1"/>
  <c r="AS32" i="1"/>
  <c r="AR45" i="1"/>
  <c r="AR44" i="1"/>
  <c r="AR48" i="1" s="1"/>
  <c r="AS41" i="1"/>
  <c r="AT37" i="1" l="1"/>
  <c r="AU33" i="1"/>
  <c r="AT32" i="1"/>
  <c r="N57" i="1"/>
  <c r="M52" i="1"/>
  <c r="AS45" i="1"/>
  <c r="AT41" i="1"/>
  <c r="AS44" i="1"/>
  <c r="AS48" i="1" s="1"/>
  <c r="AU41" i="1" l="1"/>
  <c r="AT45" i="1"/>
  <c r="AT44" i="1"/>
  <c r="AT48" i="1" s="1"/>
  <c r="M57" i="1"/>
  <c r="L52" i="1"/>
  <c r="AU32" i="1"/>
  <c r="AU37" i="1"/>
  <c r="L57" i="1" l="1"/>
  <c r="K52" i="1"/>
  <c r="AU44" i="1"/>
  <c r="AU48" i="1" s="1"/>
  <c r="K57" i="1" l="1"/>
  <c r="J52" i="1"/>
  <c r="J57" i="1" l="1"/>
  <c r="I52" i="1"/>
  <c r="I57" i="1" l="1"/>
  <c r="H52" i="1"/>
  <c r="G52" i="1" l="1"/>
  <c r="H57" i="1"/>
  <c r="G57" i="1" l="1"/>
  <c r="F52" i="1"/>
  <c r="F57" i="1" l="1"/>
  <c r="E52" i="1"/>
  <c r="E57" i="1" l="1"/>
  <c r="D52" i="1"/>
  <c r="D57" i="1" l="1"/>
  <c r="C52" i="1"/>
  <c r="C57" i="1" l="1"/>
  <c r="C54" i="1" s="1"/>
  <c r="B52" i="1"/>
  <c r="C58" i="1" s="1"/>
  <c r="B58" i="1" l="1"/>
  <c r="B54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</calcChain>
</file>

<file path=xl/sharedStrings.xml><?xml version="1.0" encoding="utf-8"?>
<sst xmlns="http://schemas.openxmlformats.org/spreadsheetml/2006/main" count="74" uniqueCount="71">
  <si>
    <t>PRESUPUESTO MAE (Gastos)</t>
  </si>
  <si>
    <t>EN Dólares</t>
  </si>
  <si>
    <t>Años</t>
  </si>
  <si>
    <t>Inicial</t>
  </si>
  <si>
    <t>Codificado</t>
  </si>
  <si>
    <t>Devengado (USD)</t>
  </si>
  <si>
    <t>Pagado</t>
  </si>
  <si>
    <t>Gasto Corriente</t>
  </si>
  <si>
    <t>Gasto de Inversion</t>
  </si>
  <si>
    <t>PNG</t>
  </si>
  <si>
    <t>SNAP (USD)*</t>
  </si>
  <si>
    <t>PIB (MILES de USD)</t>
  </si>
  <si>
    <t>Crecimiento PIB</t>
  </si>
  <si>
    <t>Crecimiento PIB extrapolado de la hoja PIB</t>
  </si>
  <si>
    <t>* Incluye presupuesto del PNG</t>
  </si>
  <si>
    <t>No tengo los mismos valores del PIB en 2013, 2014 y 2015</t>
  </si>
  <si>
    <t>INGRESOS</t>
  </si>
  <si>
    <t>MAE</t>
  </si>
  <si>
    <t>Costeo al año 2016 de BioFin</t>
  </si>
  <si>
    <t>Costo de 2015 en Porcentaje del PIB de 2015</t>
  </si>
  <si>
    <t>Costo (2)</t>
  </si>
  <si>
    <t>Cálculos a valores de cada año</t>
  </si>
  <si>
    <t>STOCK Brecha Ambiente (de cada año) en % del PIB</t>
  </si>
  <si>
    <t xml:space="preserve">STOCK Brecha Ambiente </t>
  </si>
  <si>
    <t>Brecha (1-2)</t>
  </si>
  <si>
    <t>Brecha/PIB</t>
  </si>
  <si>
    <t>indice de la Brecha, 1970=100</t>
  </si>
  <si>
    <t>Índice STOCK Brecha Ambiente (de cada año), 1970=100</t>
  </si>
  <si>
    <t xml:space="preserve">PNG averiguar desde cuando recibe presupuesto </t>
  </si>
  <si>
    <t>Valores actuales de gastos y de ingresos</t>
  </si>
  <si>
    <t>STOCK Brecha Ambiente (2015)</t>
  </si>
  <si>
    <t>FV (2015) Brecha Ambiente en US$</t>
  </si>
  <si>
    <t>STOCK Brecha Ambiente (2015) en millones</t>
  </si>
  <si>
    <t>STOCK Brecha Ambiente (2015) en %PIB del 2015</t>
  </si>
  <si>
    <t>Períodos</t>
  </si>
  <si>
    <t>Tasa de descuento</t>
  </si>
  <si>
    <t>Índice Brecha Ambiente STOCK  (2015), 1970=100</t>
  </si>
  <si>
    <t>Present Values, 1970</t>
  </si>
  <si>
    <t xml:space="preserve">STOCK Brecha Ambiente  (1970) </t>
  </si>
  <si>
    <t>VAN</t>
  </si>
  <si>
    <t>PV (1970) Brecha Ambiente en US$</t>
  </si>
  <si>
    <t>Valores Presentes (45 períodos sin contar con el actual)</t>
  </si>
  <si>
    <t>Indice PV 1970=100</t>
  </si>
  <si>
    <t>STOCK Brecha Ambiente (1970) en %PIB del 1970</t>
  </si>
  <si>
    <t>en % del PIB de 1970</t>
  </si>
  <si>
    <t>Índice Brecha Ambiente STOCK (1970), 1970=100</t>
  </si>
  <si>
    <t>NOTAS:</t>
  </si>
  <si>
    <t>DOS OPCIONES PARA EL BALANCE</t>
  </si>
  <si>
    <t>1) Poner como activo al gasto y en el pasivo el costo</t>
  </si>
  <si>
    <t>el pasivo baja o lo que es lo mismo: la brecha se cierra.</t>
  </si>
  <si>
    <t xml:space="preserve">     gasto (a)</t>
  </si>
  <si>
    <t xml:space="preserve">     costo (b)</t>
  </si>
  <si>
    <t>2) Poner solo la brecha</t>
  </si>
  <si>
    <t xml:space="preserve">   brecha </t>
  </si>
  <si>
    <t xml:space="preserve">          c= a-b</t>
  </si>
  <si>
    <t>Prueba&gt;</t>
  </si>
  <si>
    <t>COSTO</t>
  </si>
  <si>
    <t>Sube el presupuesto a una tasa más elevada que la del costo</t>
  </si>
  <si>
    <t>pero también sube costo</t>
  </si>
  <si>
    <t>Se amplía la brecha pero el PIB crece a una tasa mayor</t>
  </si>
  <si>
    <t>Future Values, 2015</t>
  </si>
  <si>
    <t>ANÁLISIS:</t>
  </si>
  <si>
    <t>%PIB</t>
  </si>
  <si>
    <t>Gasto Sector Ambiente</t>
  </si>
  <si>
    <t>t/t-1 gasto ambiente</t>
  </si>
  <si>
    <t>Sectores Estratégicos</t>
  </si>
  <si>
    <t>Presupuesto General del Estado</t>
  </si>
  <si>
    <t>Año</t>
  </si>
  <si>
    <t>Número de Áreas Protegidas</t>
  </si>
  <si>
    <t>Áreas Protegidas</t>
  </si>
  <si>
    <t>Ecuador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</si>
</sst>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 * #,##0.00_ ;_ * \-#,##0.00_ ;_ * &quot;-&quot;??_ ;_ @_ "/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_ * #,##0.0_ ;_ * \-#,##0.0_ ;_ * &quot;-&quot;??_ ;_ @_ "/>
    <numFmt numFmtId="168" formatCode="_ * #,##0_ ;_ * \-#,##0_ ;_ * &quot;-&quot;??_ ;_ @_ "/>
    <numFmt numFmtId="169" formatCode="0.0000"/>
    <numFmt numFmtId="170" formatCode="0.000"/>
    <numFmt numFmtId="171" formatCode="0.0%"/>
    <numFmt numFmtId="172" formatCode="_(* #,##0.0_);_(* \(#,##0.0\);_(* &quot;-&quot;??_);_(@_)"/>
    <numFmt numFmtId="173" formatCode="_(* #,##0_);_(* \(#,##0\);_(* &quot;-&quot;??_);_(@_)"/>
    <numFmt numFmtId="174" formatCode="_(* #,##0.0000_);_(* \(#,##0.0000\);_(* &quot;-&quot;??_);_(@_)"/>
    <numFmt numFmtId="175" formatCode="_ * #,##0.0_ ;_ * \-#,##0.0_ ;_ * &quot;-&quot;?_ ;_ @_ "/>
    <numFmt numFmtId="176" formatCode="0.000%"/>
    <numFmt numFmtId="177" formatCode="_(* #,##0.0_);_(* \(#,##0.0\);_(* &quot;-&quot;?_);_(@_)"/>
    <numFmt numFmtId="178" formatCode="_(* #,##0.00000_);_(* \(#,##0.00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C00000"/>
      <name val="Arial"/>
      <family val="2"/>
    </font>
    <font>
      <b/>
      <sz val="8"/>
      <name val="Arial"/>
      <family val="2"/>
    </font>
    <font>
      <sz val="8"/>
      <color rgb="FF00B050"/>
      <name val="Arial"/>
      <family val="2"/>
    </font>
    <font>
      <sz val="12"/>
      <color theme="1"/>
      <name val="Times New Roman"/>
      <family val="1"/>
    </font>
    <font>
      <b/>
      <sz val="14"/>
      <color rgb="FFC00000"/>
      <name val="Arial"/>
      <family val="2"/>
    </font>
    <font>
      <b/>
      <u/>
      <sz val="8"/>
      <name val="Arial"/>
      <family val="2"/>
    </font>
    <font>
      <sz val="8"/>
      <color rgb="FF0066FF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u/>
      <sz val="8"/>
      <name val="Arial"/>
      <family val="2"/>
    </font>
    <font>
      <sz val="8"/>
      <color theme="4" tint="-0.4999847407452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66FF99"/>
        <bgColor rgb="FF99CC66"/>
      </patternFill>
    </fill>
    <fill>
      <patternFill patternType="solid">
        <fgColor rgb="FFDDDDDD"/>
        <bgColor rgb="FFCCFFCC"/>
      </patternFill>
    </fill>
    <fill>
      <patternFill patternType="solid">
        <fgColor rgb="FF99CC66"/>
        <bgColor rgb="FFC0C0C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7" fontId="4" fillId="0" borderId="0" xfId="1" applyNumberFormat="1" applyFont="1"/>
    <xf numFmtId="167" fontId="2" fillId="0" borderId="0" xfId="1" applyNumberFormat="1" applyFont="1"/>
    <xf numFmtId="167" fontId="2" fillId="2" borderId="0" xfId="1" applyNumberFormat="1" applyFont="1" applyFill="1"/>
    <xf numFmtId="0" fontId="2" fillId="3" borderId="0" xfId="0" applyFont="1" applyFill="1"/>
    <xf numFmtId="167" fontId="4" fillId="3" borderId="0" xfId="1" applyNumberFormat="1" applyFont="1" applyFill="1"/>
    <xf numFmtId="167" fontId="2" fillId="3" borderId="0" xfId="1" applyNumberFormat="1" applyFont="1" applyFill="1"/>
    <xf numFmtId="0" fontId="2" fillId="4" borderId="0" xfId="0" applyFont="1" applyFill="1"/>
    <xf numFmtId="167" fontId="2" fillId="4" borderId="0" xfId="1" applyNumberFormat="1" applyFont="1" applyFill="1"/>
    <xf numFmtId="167" fontId="3" fillId="3" borderId="0" xfId="1" applyNumberFormat="1" applyFont="1" applyFill="1"/>
    <xf numFmtId="167" fontId="5" fillId="3" borderId="0" xfId="1" applyNumberFormat="1" applyFont="1" applyFill="1"/>
    <xf numFmtId="43" fontId="2" fillId="3" borderId="0" xfId="0" applyNumberFormat="1" applyFont="1" applyFill="1"/>
    <xf numFmtId="0" fontId="5" fillId="3" borderId="0" xfId="0" applyFont="1" applyFill="1"/>
    <xf numFmtId="168" fontId="2" fillId="0" borderId="0" xfId="1" applyNumberFormat="1" applyFont="1"/>
    <xf numFmtId="168" fontId="6" fillId="0" borderId="0" xfId="1" applyNumberFormat="1" applyFont="1"/>
    <xf numFmtId="169" fontId="2" fillId="0" borderId="0" xfId="0" applyNumberFormat="1" applyFont="1"/>
    <xf numFmtId="169" fontId="2" fillId="0" borderId="0" xfId="2" applyNumberFormat="1" applyFont="1"/>
    <xf numFmtId="170" fontId="7" fillId="0" borderId="1" xfId="0" applyNumberFormat="1" applyFont="1" applyBorder="1" applyAlignment="1">
      <alignment horizontal="center"/>
    </xf>
    <xf numFmtId="169" fontId="7" fillId="0" borderId="1" xfId="0" applyNumberFormat="1" applyFont="1" applyBorder="1" applyAlignment="1">
      <alignment horizontal="center"/>
    </xf>
    <xf numFmtId="0" fontId="2" fillId="5" borderId="0" xfId="0" applyFont="1" applyFill="1"/>
    <xf numFmtId="171" fontId="2" fillId="0" borderId="0" xfId="2" applyNumberFormat="1" applyFont="1"/>
    <xf numFmtId="167" fontId="2" fillId="0" borderId="0" xfId="0" applyNumberFormat="1" applyFont="1"/>
    <xf numFmtId="172" fontId="2" fillId="0" borderId="0" xfId="1" applyNumberFormat="1" applyFont="1"/>
    <xf numFmtId="4" fontId="2" fillId="0" borderId="0" xfId="0" applyNumberFormat="1" applyFont="1"/>
    <xf numFmtId="171" fontId="8" fillId="0" borderId="0" xfId="2" applyNumberFormat="1" applyFont="1"/>
    <xf numFmtId="0" fontId="3" fillId="0" borderId="0" xfId="0" applyFont="1" applyAlignment="1">
      <alignment vertical="center"/>
    </xf>
    <xf numFmtId="0" fontId="5" fillId="6" borderId="0" xfId="0" applyFont="1" applyFill="1"/>
    <xf numFmtId="168" fontId="5" fillId="6" borderId="0" xfId="1" applyNumberFormat="1" applyFont="1" applyFill="1"/>
    <xf numFmtId="173" fontId="5" fillId="7" borderId="2" xfId="0" applyNumberFormat="1" applyFont="1" applyFill="1" applyBorder="1"/>
    <xf numFmtId="0" fontId="5" fillId="0" borderId="0" xfId="0" applyFont="1" applyFill="1"/>
    <xf numFmtId="168" fontId="2" fillId="0" borderId="0" xfId="1" applyNumberFormat="1" applyFont="1" applyFill="1"/>
    <xf numFmtId="173" fontId="5" fillId="0" borderId="0" xfId="0" applyNumberFormat="1" applyFont="1" applyFill="1" applyBorder="1"/>
    <xf numFmtId="0" fontId="2" fillId="0" borderId="0" xfId="0" applyFont="1" applyFill="1"/>
    <xf numFmtId="0" fontId="9" fillId="0" borderId="0" xfId="0" applyFont="1" applyFill="1"/>
    <xf numFmtId="174" fontId="2" fillId="0" borderId="0" xfId="0" applyNumberFormat="1" applyFont="1" applyFill="1"/>
    <xf numFmtId="0" fontId="2" fillId="8" borderId="0" xfId="0" applyFont="1" applyFill="1"/>
    <xf numFmtId="175" fontId="2" fillId="8" borderId="0" xfId="0" applyNumberFormat="1" applyFont="1" applyFill="1"/>
    <xf numFmtId="166" fontId="2" fillId="8" borderId="0" xfId="0" applyNumberFormat="1" applyFont="1" applyFill="1"/>
    <xf numFmtId="166" fontId="10" fillId="8" borderId="0" xfId="0" applyNumberFormat="1" applyFont="1" applyFill="1"/>
    <xf numFmtId="0" fontId="5" fillId="9" borderId="0" xfId="0" applyFont="1" applyFill="1"/>
    <xf numFmtId="175" fontId="2" fillId="9" borderId="0" xfId="0" applyNumberFormat="1" applyFont="1" applyFill="1"/>
    <xf numFmtId="175" fontId="2" fillId="0" borderId="0" xfId="0" applyNumberFormat="1" applyFont="1" applyFill="1"/>
    <xf numFmtId="176" fontId="2" fillId="0" borderId="0" xfId="2" applyNumberFormat="1" applyFont="1"/>
    <xf numFmtId="175" fontId="2" fillId="0" borderId="0" xfId="0" applyNumberFormat="1" applyFont="1"/>
    <xf numFmtId="0" fontId="10" fillId="0" borderId="0" xfId="0" applyFont="1" applyFill="1"/>
    <xf numFmtId="177" fontId="10" fillId="0" borderId="0" xfId="0" applyNumberFormat="1" applyFont="1" applyFill="1"/>
    <xf numFmtId="0" fontId="9" fillId="0" borderId="0" xfId="0" applyFont="1"/>
    <xf numFmtId="164" fontId="2" fillId="0" borderId="0" xfId="0" applyNumberFormat="1" applyFont="1"/>
    <xf numFmtId="164" fontId="2" fillId="10" borderId="0" xfId="0" applyNumberFormat="1" applyFont="1" applyFill="1"/>
    <xf numFmtId="175" fontId="3" fillId="0" borderId="0" xfId="0" applyNumberFormat="1" applyFont="1"/>
    <xf numFmtId="173" fontId="2" fillId="0" borderId="0" xfId="1" applyNumberFormat="1" applyFont="1"/>
    <xf numFmtId="0" fontId="2" fillId="6" borderId="0" xfId="0" applyFont="1" applyFill="1"/>
    <xf numFmtId="173" fontId="2" fillId="6" borderId="0" xfId="1" applyNumberFormat="1" applyFont="1" applyFill="1"/>
    <xf numFmtId="166" fontId="2" fillId="0" borderId="0" xfId="0" applyNumberFormat="1" applyFont="1"/>
    <xf numFmtId="0" fontId="2" fillId="0" borderId="0" xfId="0" applyNumberFormat="1" applyFont="1"/>
    <xf numFmtId="0" fontId="11" fillId="0" borderId="0" xfId="0" applyFont="1"/>
    <xf numFmtId="165" fontId="2" fillId="0" borderId="0" xfId="0" applyNumberFormat="1" applyFont="1"/>
    <xf numFmtId="0" fontId="10" fillId="0" borderId="0" xfId="0" applyFont="1"/>
    <xf numFmtId="173" fontId="10" fillId="0" borderId="0" xfId="0" applyNumberFormat="1" applyFont="1"/>
    <xf numFmtId="0" fontId="12" fillId="0" borderId="0" xfId="0" applyFont="1"/>
    <xf numFmtId="166" fontId="12" fillId="0" borderId="0" xfId="0" applyNumberFormat="1" applyFont="1"/>
    <xf numFmtId="173" fontId="3" fillId="10" borderId="0" xfId="0" applyNumberFormat="1" applyFont="1" applyFill="1"/>
    <xf numFmtId="1" fontId="2" fillId="0" borderId="0" xfId="0" applyNumberFormat="1" applyFont="1"/>
    <xf numFmtId="1" fontId="2" fillId="0" borderId="0" xfId="0" applyNumberFormat="1" applyFont="1" applyAlignment="1">
      <alignment vertical="center"/>
    </xf>
    <xf numFmtId="165" fontId="12" fillId="10" borderId="0" xfId="0" applyNumberFormat="1" applyFont="1" applyFill="1"/>
    <xf numFmtId="2" fontId="2" fillId="0" borderId="0" xfId="0" applyNumberFormat="1" applyFont="1"/>
    <xf numFmtId="1" fontId="2" fillId="0" borderId="0" xfId="0" applyNumberFormat="1" applyFont="1" applyAlignment="1">
      <alignment horizontal="right"/>
    </xf>
    <xf numFmtId="178" fontId="2" fillId="0" borderId="0" xfId="0" applyNumberFormat="1" applyFont="1"/>
    <xf numFmtId="0" fontId="13" fillId="0" borderId="0" xfId="0" applyFont="1"/>
    <xf numFmtId="173" fontId="14" fillId="0" borderId="0" xfId="0" applyNumberFormat="1" applyFont="1"/>
    <xf numFmtId="9" fontId="2" fillId="0" borderId="0" xfId="2" applyFont="1"/>
    <xf numFmtId="10" fontId="2" fillId="0" borderId="0" xfId="2" applyNumberFormat="1" applyFont="1"/>
    <xf numFmtId="10" fontId="3" fillId="0" borderId="0" xfId="2" applyNumberFormat="1" applyFont="1"/>
    <xf numFmtId="10" fontId="2" fillId="0" borderId="0" xfId="2" applyNumberFormat="1" applyFont="1" applyFill="1"/>
    <xf numFmtId="0" fontId="0" fillId="11" borderId="3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12" borderId="3" xfId="0" applyFont="1" applyFill="1" applyBorder="1" applyAlignment="1">
      <alignment horizontal="center" vertical="top" wrapText="1"/>
    </xf>
    <xf numFmtId="0" fontId="0" fillId="13" borderId="3" xfId="0" applyFont="1" applyFill="1" applyBorder="1" applyAlignment="1">
      <alignment horizontal="center" vertical="top" wrapText="1"/>
    </xf>
    <xf numFmtId="0" fontId="0" fillId="14" borderId="3" xfId="0" applyFont="1" applyFill="1" applyBorder="1" applyAlignment="1">
      <alignment horizontal="center" vertical="top" wrapText="1"/>
    </xf>
    <xf numFmtId="171" fontId="0" fillId="0" borderId="0" xfId="2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externalLink" Target="externalLinks/externalLink3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chartsheet" Target="chartsheets/sheet2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graf1!$B$1</c:f>
              <c:strCache>
                <c:ptCount val="1"/>
                <c:pt idx="0">
                  <c:v>Número de Áreas Protegidas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graf1!$A$2:$A$27</c:f>
              <c:numCache>
                <c:formatCode>General</c:formatCode>
                <c:ptCount val="26"/>
                <c:pt idx="0">
                  <c:v>1936</c:v>
                </c:pt>
                <c:pt idx="1">
                  <c:v>1966</c:v>
                </c:pt>
                <c:pt idx="2">
                  <c:v>1968</c:v>
                </c:pt>
                <c:pt idx="3">
                  <c:v>1970</c:v>
                </c:pt>
                <c:pt idx="4">
                  <c:v>1975</c:v>
                </c:pt>
                <c:pt idx="5">
                  <c:v>1977</c:v>
                </c:pt>
                <c:pt idx="6">
                  <c:v>1979</c:v>
                </c:pt>
                <c:pt idx="7">
                  <c:v>1982</c:v>
                </c:pt>
                <c:pt idx="8">
                  <c:v>1985</c:v>
                </c:pt>
                <c:pt idx="9">
                  <c:v>1987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1999</c:v>
                </c:pt>
                <c:pt idx="16">
                  <c:v>2002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graf1!$B$2:$B$27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19</c:v>
                </c:pt>
                <c:pt idx="13">
                  <c:v>20</c:v>
                </c:pt>
                <c:pt idx="14">
                  <c:v>25</c:v>
                </c:pt>
                <c:pt idx="15">
                  <c:v>27</c:v>
                </c:pt>
                <c:pt idx="16">
                  <c:v>32</c:v>
                </c:pt>
                <c:pt idx="17">
                  <c:v>34</c:v>
                </c:pt>
                <c:pt idx="18">
                  <c:v>35</c:v>
                </c:pt>
                <c:pt idx="19">
                  <c:v>40</c:v>
                </c:pt>
                <c:pt idx="20">
                  <c:v>41</c:v>
                </c:pt>
                <c:pt idx="21">
                  <c:v>45</c:v>
                </c:pt>
                <c:pt idx="22">
                  <c:v>46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1-41BA-A13F-86DF6A51E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3046824"/>
        <c:axId val="313047152"/>
      </c:barChart>
      <c:catAx>
        <c:axId val="313046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13047152"/>
        <c:crosses val="autoZero"/>
        <c:auto val="1"/>
        <c:lblAlgn val="ctr"/>
        <c:lblOffset val="100"/>
        <c:noMultiLvlLbl val="0"/>
      </c:catAx>
      <c:valAx>
        <c:axId val="31304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Número de Áreas Protegidas</a:t>
                </a:r>
                <a:endParaRPr lang="es-MX" sz="1000" b="1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13046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'[1]Brecha ambiental'!$A$51</c:f>
              <c:strCache>
                <c:ptCount val="1"/>
                <c:pt idx="0">
                  <c:v>STOCK Brecha Ambiente (1970) en %PIB del 1970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'[1]Brecha ambiental'!$B$2:$AU$2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'[1]Brecha ambiental'!$B$51:$AU$51</c:f>
              <c:numCache>
                <c:formatCode>General</c:formatCode>
                <c:ptCount val="46"/>
                <c:pt idx="0">
                  <c:v>0.23828748995342333</c:v>
                </c:pt>
                <c:pt idx="1">
                  <c:v>0.44671790747945461</c:v>
                </c:pt>
                <c:pt idx="2">
                  <c:v>0.66590439425701664</c:v>
                </c:pt>
                <c:pt idx="3">
                  <c:v>0.90930553692289762</c:v>
                </c:pt>
                <c:pt idx="4">
                  <c:v>1.2845200039676183</c:v>
                </c:pt>
                <c:pt idx="5">
                  <c:v>1.6841567422749246</c:v>
                </c:pt>
                <c:pt idx="6">
                  <c:v>2.1113799287764334</c:v>
                </c:pt>
                <c:pt idx="7">
                  <c:v>2.5823984210215216</c:v>
                </c:pt>
                <c:pt idx="8">
                  <c:v>3.0453984769347877</c:v>
                </c:pt>
                <c:pt idx="9">
                  <c:v>3.5458351195847282</c:v>
                </c:pt>
                <c:pt idx="10">
                  <c:v>4.1197302855526274</c:v>
                </c:pt>
                <c:pt idx="11">
                  <c:v>4.7560956295961594</c:v>
                </c:pt>
                <c:pt idx="12">
                  <c:v>5.2847197805195032</c:v>
                </c:pt>
                <c:pt idx="13">
                  <c:v>5.6983166191182839</c:v>
                </c:pt>
                <c:pt idx="14">
                  <c:v>6.0690534403036729</c:v>
                </c:pt>
                <c:pt idx="15">
                  <c:v>6.4108014807125464</c:v>
                </c:pt>
                <c:pt idx="16">
                  <c:v>6.6882387991562045</c:v>
                </c:pt>
                <c:pt idx="17">
                  <c:v>6.9179125883586909</c:v>
                </c:pt>
                <c:pt idx="18">
                  <c:v>7.1133285669994235</c:v>
                </c:pt>
                <c:pt idx="19">
                  <c:v>7.3023984051656621</c:v>
                </c:pt>
                <c:pt idx="20">
                  <c:v>7.4909654547468838</c:v>
                </c:pt>
                <c:pt idx="21">
                  <c:v>7.682063257741949</c:v>
                </c:pt>
                <c:pt idx="22">
                  <c:v>7.8670954839916929</c:v>
                </c:pt>
                <c:pt idx="23">
                  <c:v>8.0431572080777176</c:v>
                </c:pt>
                <c:pt idx="24">
                  <c:v>8.2350742166269129</c:v>
                </c:pt>
                <c:pt idx="25">
                  <c:v>8.4227912829358189</c:v>
                </c:pt>
                <c:pt idx="26">
                  <c:v>8.5989854361892721</c:v>
                </c:pt>
                <c:pt idx="27">
                  <c:v>8.7778020880483307</c:v>
                </c:pt>
                <c:pt idx="28">
                  <c:v>8.9393227607673857</c:v>
                </c:pt>
                <c:pt idx="29">
                  <c:v>9.0424127126813403</c:v>
                </c:pt>
                <c:pt idx="30">
                  <c:v>9.1298456555669194</c:v>
                </c:pt>
                <c:pt idx="31">
                  <c:v>9.2185435047755622</c:v>
                </c:pt>
                <c:pt idx="32">
                  <c:v>9.3161766360860128</c:v>
                </c:pt>
                <c:pt idx="33">
                  <c:v>9.4219211093123878</c:v>
                </c:pt>
                <c:pt idx="34">
                  <c:v>9.5327687078276906</c:v>
                </c:pt>
                <c:pt idx="35">
                  <c:v>9.6285299929732133</c:v>
                </c:pt>
                <c:pt idx="36">
                  <c:v>9.7431984711821276</c:v>
                </c:pt>
                <c:pt idx="37">
                  <c:v>9.8548377482481033</c:v>
                </c:pt>
                <c:pt idx="38">
                  <c:v>9.9196950215109645</c:v>
                </c:pt>
                <c:pt idx="39">
                  <c:v>10.013641815923021</c:v>
                </c:pt>
                <c:pt idx="40">
                  <c:v>10.07673838141428</c:v>
                </c:pt>
                <c:pt idx="41">
                  <c:v>10.140756272221541</c:v>
                </c:pt>
                <c:pt idx="42">
                  <c:v>10.192626998992608</c:v>
                </c:pt>
                <c:pt idx="43">
                  <c:v>10.26957532265962</c:v>
                </c:pt>
                <c:pt idx="44">
                  <c:v>10.342627141055225</c:v>
                </c:pt>
                <c:pt idx="45">
                  <c:v>10.416524251526358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65-4E7B-A4C2-D527D5E77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065648"/>
        <c:axId val="577062696"/>
      </c:lineChart>
      <c:catAx>
        <c:axId val="57706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77062696"/>
        <c:crosses val="autoZero"/>
        <c:auto val="1"/>
        <c:lblAlgn val="ctr"/>
        <c:lblOffset val="100"/>
        <c:noMultiLvlLbl val="0"/>
      </c:catAx>
      <c:valAx>
        <c:axId val="577062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77065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9.6650262467191592E-2"/>
          <c:y val="9.3009259259259264E-2"/>
          <c:w val="0.85991885389326339"/>
          <c:h val="0.68729986876640425"/>
        </c:manualLayout>
      </c:layout>
      <c:lineChart>
        <c:grouping val="stacked"/>
        <c:varyColors val="0"/>
        <c:ser>
          <c:idx val="0"/>
          <c:order val="0"/>
          <c:tx>
            <c:strRef>
              <c:f>'[1]Brecha ambiental'!$A$39</c:f>
              <c:strCache>
                <c:ptCount val="1"/>
                <c:pt idx="0">
                  <c:v>STOCK Brecha Ambiente (2015) en %PIB del 2015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'[1]Brecha ambiental'!$B$2:$AU$2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'[1]Brecha ambiental'!$B$39:$AU$39</c:f>
              <c:numCache>
                <c:formatCode>General</c:formatCode>
                <c:ptCount val="46"/>
                <c:pt idx="0">
                  <c:v>4.8589328968685797</c:v>
                </c:pt>
                <c:pt idx="1">
                  <c:v>9.1031367089951445</c:v>
                </c:pt>
                <c:pt idx="2">
                  <c:v>13.559524298025821</c:v>
                </c:pt>
                <c:pt idx="3">
                  <c:v>18.499878241470991</c:v>
                </c:pt>
                <c:pt idx="4">
                  <c:v>26.101504103128981</c:v>
                </c:pt>
                <c:pt idx="5">
                  <c:v>34.181314873248589</c:v>
                </c:pt>
                <c:pt idx="6">
                  <c:v>42.799349554049435</c:v>
                </c:pt>
                <c:pt idx="7">
                  <c:v>52.277164179508262</c:v>
                </c:pt>
                <c:pt idx="8">
                  <c:v>61.56804052211826</c:v>
                </c:pt>
                <c:pt idx="9">
                  <c:v>71.579718084444835</c:v>
                </c:pt>
                <c:pt idx="10">
                  <c:v>83.022615710960181</c:v>
                </c:pt>
                <c:pt idx="11">
                  <c:v>95.664289637126956</c:v>
                </c:pt>
                <c:pt idx="12">
                  <c:v>106.12285856110677</c:v>
                </c:pt>
                <c:pt idx="13">
                  <c:v>114.26885087738789</c:v>
                </c:pt>
                <c:pt idx="14">
                  <c:v>121.53439146156906</c:v>
                </c:pt>
                <c:pt idx="15">
                  <c:v>128.19501188879372</c:v>
                </c:pt>
                <c:pt idx="16">
                  <c:v>133.56935374914104</c:v>
                </c:pt>
                <c:pt idx="17">
                  <c:v>137.98851659982807</c:v>
                </c:pt>
                <c:pt idx="18">
                  <c:v>141.72050764364556</c:v>
                </c:pt>
                <c:pt idx="19">
                  <c:v>145.30148550348895</c:v>
                </c:pt>
                <c:pt idx="20">
                  <c:v>148.84022946588553</c:v>
                </c:pt>
                <c:pt idx="21">
                  <c:v>152.39000169765984</c:v>
                </c:pt>
                <c:pt idx="22">
                  <c:v>155.78826323662557</c:v>
                </c:pt>
                <c:pt idx="23">
                  <c:v>158.98112339032369</c:v>
                </c:pt>
                <c:pt idx="24">
                  <c:v>162.41277426040173</c:v>
                </c:pt>
                <c:pt idx="25">
                  <c:v>165.71688226072359</c:v>
                </c:pt>
                <c:pt idx="26">
                  <c:v>168.76402202642237</c:v>
                </c:pt>
                <c:pt idx="27">
                  <c:v>171.79606728050288</c:v>
                </c:pt>
                <c:pt idx="28">
                  <c:v>174.47477712794165</c:v>
                </c:pt>
                <c:pt idx="29">
                  <c:v>176.14228576157217</c:v>
                </c:pt>
                <c:pt idx="30">
                  <c:v>177.5171982052515</c:v>
                </c:pt>
                <c:pt idx="31">
                  <c:v>178.86810199161104</c:v>
                </c:pt>
                <c:pt idx="32">
                  <c:v>180.30193936719229</c:v>
                </c:pt>
                <c:pt idx="33">
                  <c:v>181.79157224933229</c:v>
                </c:pt>
                <c:pt idx="34">
                  <c:v>183.28007145964861</c:v>
                </c:pt>
                <c:pt idx="35">
                  <c:v>184.49659451135929</c:v>
                </c:pt>
                <c:pt idx="36">
                  <c:v>185.86190683036486</c:v>
                </c:pt>
                <c:pt idx="37">
                  <c:v>187.09326534191828</c:v>
                </c:pt>
                <c:pt idx="38">
                  <c:v>187.74607369646679</c:v>
                </c:pt>
                <c:pt idx="39">
                  <c:v>188.59200521706197</c:v>
                </c:pt>
                <c:pt idx="40">
                  <c:v>189.08651417326607</c:v>
                </c:pt>
                <c:pt idx="41">
                  <c:v>189.50606180556127</c:v>
                </c:pt>
                <c:pt idx="42">
                  <c:v>189.77275464585844</c:v>
                </c:pt>
                <c:pt idx="43">
                  <c:v>190.04885831171478</c:v>
                </c:pt>
                <c:pt idx="44">
                  <c:v>190.18616049115667</c:v>
                </c:pt>
                <c:pt idx="45">
                  <c:v>190.33894050402262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D-47C4-BD90-6EC7A8765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021368"/>
        <c:axId val="577019072"/>
      </c:lineChart>
      <c:catAx>
        <c:axId val="577021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77019072"/>
        <c:crosses val="autoZero"/>
        <c:auto val="1"/>
        <c:lblAlgn val="ctr"/>
        <c:lblOffset val="100"/>
        <c:noMultiLvlLbl val="0"/>
      </c:catAx>
      <c:valAx>
        <c:axId val="57701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77021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 STOCK Brecha Ambiente (de cada año), 1970=100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'[1]Brecha ambiental'!$A$31</c:f>
              <c:strCache>
                <c:ptCount val="1"/>
                <c:pt idx="0">
                  <c:v>Índice STOCK Brecha Ambiente (de cada año), 1970=100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'[1]Brecha ambiental'!$B$2:$AU$2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'[1]Brecha ambiental'!$B$31:$AU$31</c:f>
              <c:numCache>
                <c:formatCode>General</c:formatCode>
                <c:ptCount val="46"/>
                <c:pt idx="0">
                  <c:v>100</c:v>
                </c:pt>
                <c:pt idx="1">
                  <c:v>196.21716159897551</c:v>
                </c:pt>
                <c:pt idx="2">
                  <c:v>307.51786355889908</c:v>
                </c:pt>
                <c:pt idx="3">
                  <c:v>443.47419133405941</c:v>
                </c:pt>
                <c:pt idx="4">
                  <c:v>674.01566932249193</c:v>
                </c:pt>
                <c:pt idx="5">
                  <c:v>944.11753809331401</c:v>
                </c:pt>
                <c:pt idx="6">
                  <c:v>1261.7388851685278</c:v>
                </c:pt>
                <c:pt idx="7">
                  <c:v>1646.9382048783486</c:v>
                </c:pt>
                <c:pt idx="8">
                  <c:v>2063.4442241742081</c:v>
                </c:pt>
                <c:pt idx="9">
                  <c:v>2558.6458087218625</c:v>
                </c:pt>
                <c:pt idx="10">
                  <c:v>3183.3266343531159</c:v>
                </c:pt>
                <c:pt idx="11">
                  <c:v>3945.2737238267923</c:v>
                </c:pt>
                <c:pt idx="12">
                  <c:v>4641.5121357560574</c:v>
                </c:pt>
                <c:pt idx="13">
                  <c:v>5240.72465024333</c:v>
                </c:pt>
                <c:pt idx="14">
                  <c:v>5831.5540142852551</c:v>
                </c:pt>
                <c:pt idx="15">
                  <c:v>6430.6481490542892</c:v>
                </c:pt>
                <c:pt idx="16">
                  <c:v>6965.6392994101634</c:v>
                </c:pt>
                <c:pt idx="17">
                  <c:v>7452.8152493488578</c:v>
                </c:pt>
                <c:pt idx="18">
                  <c:v>7908.7756873852713</c:v>
                </c:pt>
                <c:pt idx="19">
                  <c:v>8394.0441056197324</c:v>
                </c:pt>
                <c:pt idx="20">
                  <c:v>8926.4198575948249</c:v>
                </c:pt>
                <c:pt idx="21">
                  <c:v>9519.892685832041</c:v>
                </c:pt>
                <c:pt idx="22">
                  <c:v>10151.991834001365</c:v>
                </c:pt>
                <c:pt idx="23">
                  <c:v>10813.59178814539</c:v>
                </c:pt>
                <c:pt idx="24">
                  <c:v>11606.890349693755</c:v>
                </c:pt>
                <c:pt idx="25">
                  <c:v>12460.422028763438</c:v>
                </c:pt>
                <c:pt idx="26">
                  <c:v>13341.6739248661</c:v>
                </c:pt>
                <c:pt idx="27">
                  <c:v>14325.479355723535</c:v>
                </c:pt>
                <c:pt idx="28">
                  <c:v>15302.991263597763</c:v>
                </c:pt>
                <c:pt idx="29">
                  <c:v>15989.273825884296</c:v>
                </c:pt>
                <c:pt idx="30">
                  <c:v>16629.530933910071</c:v>
                </c:pt>
                <c:pt idx="31">
                  <c:v>17344.002724553397</c:v>
                </c:pt>
                <c:pt idx="32">
                  <c:v>18209.093937626079</c:v>
                </c:pt>
                <c:pt idx="33">
                  <c:v>19239.753046172747</c:v>
                </c:pt>
                <c:pt idx="34">
                  <c:v>20428.19053082804</c:v>
                </c:pt>
                <c:pt idx="35">
                  <c:v>21557.551316330209</c:v>
                </c:pt>
                <c:pt idx="36">
                  <c:v>23045.128374930904</c:v>
                </c:pt>
                <c:pt idx="37">
                  <c:v>24638.236027493407</c:v>
                </c:pt>
                <c:pt idx="38">
                  <c:v>25656.310339531239</c:v>
                </c:pt>
                <c:pt idx="39">
                  <c:v>27278.476900122376</c:v>
                </c:pt>
                <c:pt idx="40">
                  <c:v>28476.904725100132</c:v>
                </c:pt>
                <c:pt idx="41">
                  <c:v>29814.424495736195</c:v>
                </c:pt>
                <c:pt idx="42">
                  <c:v>31006.52773232491</c:v>
                </c:pt>
                <c:pt idx="43">
                  <c:v>32951.813378855666</c:v>
                </c:pt>
                <c:pt idx="44">
                  <c:v>34983.271787646809</c:v>
                </c:pt>
                <c:pt idx="45">
                  <c:v>37243.732933225714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51-4598-801D-C3092FC9E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909024"/>
        <c:axId val="577909352"/>
      </c:lineChart>
      <c:catAx>
        <c:axId val="57790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77909352"/>
        <c:crosses val="autoZero"/>
        <c:auto val="1"/>
        <c:lblAlgn val="ctr"/>
        <c:lblOffset val="100"/>
        <c:noMultiLvlLbl val="0"/>
      </c:catAx>
      <c:valAx>
        <c:axId val="5779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7790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STOCK Brecha Ambiente (de cada año) en % del PIB de cada año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'[1]Brecha ambiental'!$A$26</c:f>
              <c:strCache>
                <c:ptCount val="1"/>
                <c:pt idx="0">
                  <c:v>STOCK Brecha Ambiente (de cada año) en % del PIB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'[1]Brecha ambiental'!$B$2:$AU$2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'[1]Brecha ambiental'!$B$26:$AU$26</c:f>
              <c:numCache>
                <c:formatCode>General</c:formatCode>
                <c:ptCount val="46"/>
                <c:pt idx="0">
                  <c:v>0.23828748995343021</c:v>
                </c:pt>
                <c:pt idx="1">
                  <c:v>0.48594340288359034</c:v>
                </c:pt>
                <c:pt idx="2">
                  <c:v>0.6583755406113867</c:v>
                </c:pt>
                <c:pt idx="3">
                  <c:v>0.77726688887096684</c:v>
                </c:pt>
                <c:pt idx="4">
                  <c:v>0.69666206460338753</c:v>
                </c:pt>
                <c:pt idx="5">
                  <c:v>0.83291315012763967</c:v>
                </c:pt>
                <c:pt idx="6">
                  <c:v>0.94658811409250621</c:v>
                </c:pt>
                <c:pt idx="7">
                  <c:v>1.0188096158749891</c:v>
                </c:pt>
                <c:pt idx="8">
                  <c:v>1.1805182207657559</c:v>
                </c:pt>
                <c:pt idx="9">
                  <c:v>1.2312022143409049</c:v>
                </c:pt>
                <c:pt idx="10">
                  <c:v>1.2142951764773262</c:v>
                </c:pt>
                <c:pt idx="11">
                  <c:v>1.233825006772189</c:v>
                </c:pt>
                <c:pt idx="12">
                  <c:v>1.5885568182785976</c:v>
                </c:pt>
                <c:pt idx="13">
                  <c:v>2.0840671585641188</c:v>
                </c:pt>
                <c:pt idx="14">
                  <c:v>2.3519250280412258</c:v>
                </c:pt>
                <c:pt idx="15">
                  <c:v>2.5577666635020089</c:v>
                </c:pt>
                <c:pt idx="16">
                  <c:v>3.1025274034408081</c:v>
                </c:pt>
                <c:pt idx="17">
                  <c:v>3.6453208313699843</c:v>
                </c:pt>
                <c:pt idx="18">
                  <c:v>4.133170665568243</c:v>
                </c:pt>
                <c:pt idx="19">
                  <c:v>4.1218336601499237</c:v>
                </c:pt>
                <c:pt idx="20">
                  <c:v>3.9954001929003016</c:v>
                </c:pt>
                <c:pt idx="21">
                  <c:v>3.8223676380786427</c:v>
                </c:pt>
                <c:pt idx="22">
                  <c:v>3.8270778550454279</c:v>
                </c:pt>
                <c:pt idx="23">
                  <c:v>3.8947155731169492</c:v>
                </c:pt>
                <c:pt idx="24">
                  <c:v>3.4864260464495902</c:v>
                </c:pt>
                <c:pt idx="25">
                  <c:v>3.4786789545184114</c:v>
                </c:pt>
                <c:pt idx="26">
                  <c:v>3.6075428664531546</c:v>
                </c:pt>
                <c:pt idx="27">
                  <c:v>3.4697740132212247</c:v>
                </c:pt>
                <c:pt idx="28">
                  <c:v>3.7304009778376739</c:v>
                </c:pt>
                <c:pt idx="29">
                  <c:v>5.5517131507084487</c:v>
                </c:pt>
                <c:pt idx="30">
                  <c:v>6.1890905007880574</c:v>
                </c:pt>
                <c:pt idx="31">
                  <c:v>4.832637813152723</c:v>
                </c:pt>
                <c:pt idx="32">
                  <c:v>4.3484793266241608</c:v>
                </c:pt>
                <c:pt idx="33">
                  <c:v>4.0443935579951411</c:v>
                </c:pt>
                <c:pt idx="34">
                  <c:v>3.8061588821352679</c:v>
                </c:pt>
                <c:pt idx="35">
                  <c:v>3.5409217660208228</c:v>
                </c:pt>
                <c:pt idx="36">
                  <c:v>3.3570162882149797</c:v>
                </c:pt>
                <c:pt idx="37">
                  <c:v>3.2931563620316191</c:v>
                </c:pt>
                <c:pt idx="38">
                  <c:v>2.8320930698572089</c:v>
                </c:pt>
                <c:pt idx="39">
                  <c:v>2.9746951601470584</c:v>
                </c:pt>
                <c:pt idx="40">
                  <c:v>2.7912663053315887</c:v>
                </c:pt>
                <c:pt idx="41">
                  <c:v>2.5640128733710523</c:v>
                </c:pt>
                <c:pt idx="42">
                  <c:v>2.4042639639675287</c:v>
                </c:pt>
                <c:pt idx="43">
                  <c:v>2.3703872483985933</c:v>
                </c:pt>
                <c:pt idx="44">
                  <c:v>2.363380396838092</c:v>
                </c:pt>
                <c:pt idx="45">
                  <c:v>2.5172288441416706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30-4D16-8F21-9F72A3C98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060840"/>
        <c:axId val="592062152"/>
      </c:lineChart>
      <c:catAx>
        <c:axId val="59206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92062152"/>
        <c:crosses val="autoZero"/>
        <c:auto val="1"/>
        <c:lblAlgn val="ctr"/>
        <c:lblOffset val="100"/>
        <c:noMultiLvlLbl val="0"/>
      </c:catAx>
      <c:valAx>
        <c:axId val="592062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92060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Datos!$A$11</c:f>
              <c:strCache>
                <c:ptCount val="1"/>
                <c:pt idx="0">
                  <c:v>Gasto Sector Ambiente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Datos!$AF$2:$AU$2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Datos!$AF$11:$AU$11</c:f>
              <c:numCache>
                <c:formatCode>_ * #,##0.0_ ;_ * \-#,##0.0_ ;_ * "-"??_ ;_ @_ </c:formatCode>
                <c:ptCount val="16"/>
                <c:pt idx="0">
                  <c:v>4880727.5006178785</c:v>
                </c:pt>
                <c:pt idx="1">
                  <c:v>16113504.248237027</c:v>
                </c:pt>
                <c:pt idx="2">
                  <c:v>16655526.394623311</c:v>
                </c:pt>
                <c:pt idx="3">
                  <c:v>15657262.99</c:v>
                </c:pt>
                <c:pt idx="4">
                  <c:v>15918336.140000001</c:v>
                </c:pt>
                <c:pt idx="5">
                  <c:v>32968504.280000001</c:v>
                </c:pt>
                <c:pt idx="6">
                  <c:v>22574313.609999999</c:v>
                </c:pt>
                <c:pt idx="7">
                  <c:v>26521826.199999999</c:v>
                </c:pt>
                <c:pt idx="8">
                  <c:v>94218945.36999999</c:v>
                </c:pt>
                <c:pt idx="9">
                  <c:v>55039292.739999995</c:v>
                </c:pt>
                <c:pt idx="10">
                  <c:v>102568315.25</c:v>
                </c:pt>
                <c:pt idx="11">
                  <c:v>118840150.61</c:v>
                </c:pt>
                <c:pt idx="12">
                  <c:v>151665161.5</c:v>
                </c:pt>
                <c:pt idx="13">
                  <c:v>118467381.23</c:v>
                </c:pt>
                <c:pt idx="14">
                  <c:v>128862314.86</c:v>
                </c:pt>
                <c:pt idx="15">
                  <c:v>113128736.47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E-493F-B046-9F1D61B24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817344"/>
        <c:axId val="433810128"/>
      </c:barChart>
      <c:lineChart>
        <c:grouping val="standard"/>
        <c:varyColors val="0"/>
        <c:ser>
          <c:idx val="1"/>
          <c:order val="1"/>
          <c:tx>
            <c:strRef>
              <c:f>Datos!$A$13</c:f>
              <c:strCache>
                <c:ptCount val="1"/>
                <c:pt idx="0">
                  <c:v>Crecimiento PIB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BE-493F-B046-9F1D61B24249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BE-493F-B046-9F1D61B24249}"/>
                </c:ext>
              </c:extLst>
            </c:dLbl>
            <c:dLbl>
              <c:idx val="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BE-493F-B046-9F1D61B24249}"/>
                </c:ext>
              </c:extLst>
            </c:dLbl>
            <c:spPr>
              <a:solidFill>
                <a:sysClr val="window" lastClr="FFFFFF"/>
              </a:solidFill>
              <a:ln w="12700" cap="flat" cmpd="sng" algn="ctr">
                <a:solidFill>
                  <a:schemeClr val="accent2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Datos!$AF$17:$AU$17</c:f>
              <c:numCache>
                <c:formatCode>0.00%</c:formatCode>
                <c:ptCount val="16"/>
                <c:pt idx="0">
                  <c:v>2.6643560283986091E-4</c:v>
                </c:pt>
                <c:pt idx="1">
                  <c:v>6.5854548305952735E-4</c:v>
                </c:pt>
                <c:pt idx="2">
                  <c:v>5.8340251783816569E-4</c:v>
                </c:pt>
                <c:pt idx="3">
                  <c:v>4.8275927425205637E-4</c:v>
                </c:pt>
                <c:pt idx="4">
                  <c:v>4.3502633400544459E-4</c:v>
                </c:pt>
                <c:pt idx="5">
                  <c:v>7.9428618704493461E-4</c:v>
                </c:pt>
                <c:pt idx="6">
                  <c:v>4.8233606228821971E-4</c:v>
                </c:pt>
                <c:pt idx="7">
                  <c:v>5.199565195715155E-4</c:v>
                </c:pt>
                <c:pt idx="8">
                  <c:v>1.5255007395652727E-3</c:v>
                </c:pt>
                <c:pt idx="9">
                  <c:v>8.8035139427923537E-4</c:v>
                </c:pt>
                <c:pt idx="10">
                  <c:v>1.474628338169792E-3</c:v>
                </c:pt>
                <c:pt idx="11">
                  <c:v>1.4990558963227816E-3</c:v>
                </c:pt>
                <c:pt idx="12">
                  <c:v>1.7249468077991964E-3</c:v>
                </c:pt>
                <c:pt idx="13">
                  <c:v>1.2499701267734283E-3</c:v>
                </c:pt>
                <c:pt idx="14">
                  <c:v>1.2769091416688892E-3</c:v>
                </c:pt>
                <c:pt idx="15">
                  <c:v>1.1215103737150641E-3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BE-493F-B046-9F1D61B24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721664"/>
        <c:axId val="443721992"/>
      </c:lineChart>
      <c:catAx>
        <c:axId val="43381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33810128"/>
        <c:crosses val="autoZero"/>
        <c:auto val="1"/>
        <c:lblAlgn val="ctr"/>
        <c:lblOffset val="100"/>
        <c:noMultiLvlLbl val="0"/>
      </c:catAx>
      <c:valAx>
        <c:axId val="43381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_ ;_ * \-#,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3381734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s-EC"/>
                    <a:t>USD Millones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</c:dispUnitsLbl>
        </c:dispUnits>
      </c:valAx>
      <c:valAx>
        <c:axId val="443721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</a:t>
                </a:r>
                <a:r>
                  <a:rPr lang="en-US" baseline="0"/>
                  <a:t>del </a:t>
                </a:r>
                <a:r>
                  <a:rPr lang="en-US"/>
                  <a:t> PIB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43721664"/>
        <c:crosses val="max"/>
        <c:crossBetween val="between"/>
      </c:valAx>
      <c:catAx>
        <c:axId val="443721664"/>
        <c:scaling>
          <c:orientation val="minMax"/>
        </c:scaling>
        <c:delete val="1"/>
        <c:axPos val="b"/>
        <c:majorTickMark val="out"/>
        <c:minorTickMark val="none"/>
        <c:tickLblPos val="nextTo"/>
        <c:crossAx val="443721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graf2!$B$1</c:f>
              <c:strCache>
                <c:ptCount val="1"/>
                <c:pt idx="0">
                  <c:v>Áreas Protegidas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graf2!$B$7:$B$10</c:f>
              <c:numCache>
                <c:formatCode>0.0%</c:formatCode>
                <c:ptCount val="4"/>
                <c:pt idx="0">
                  <c:v>0.51134429247714319</c:v>
                </c:pt>
                <c:pt idx="1">
                  <c:v>0.48244131479032148</c:v>
                </c:pt>
                <c:pt idx="2">
                  <c:v>0.22772052812486465</c:v>
                </c:pt>
                <c:pt idx="3">
                  <c:v>0.4573964427486934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D-4CC3-9DD2-D89F62F3A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9019808"/>
        <c:axId val="669012592"/>
      </c:barChart>
      <c:lineChart>
        <c:grouping val="standard"/>
        <c:varyColors val="0"/>
        <c:ser>
          <c:idx val="1"/>
          <c:order val="1"/>
          <c:tx>
            <c:strRef>
              <c:f>graf2!$C$1</c:f>
              <c:strCache>
                <c:ptCount val="1"/>
                <c:pt idx="0">
                  <c:v>Ecuador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graf2!$A$7:$A$10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graf2!$C$7:$C$10</c:f>
              <c:numCache>
                <c:formatCode>0.0%</c:formatCode>
                <c:ptCount val="4"/>
                <c:pt idx="0">
                  <c:v>8.9713665769584061E-2</c:v>
                </c:pt>
                <c:pt idx="1">
                  <c:v>0.11468865602079514</c:v>
                </c:pt>
                <c:pt idx="2">
                  <c:v>7.2455324746186989E-2</c:v>
                </c:pt>
                <c:pt idx="3">
                  <c:v>0.14145230001385567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3D-4CC3-9DD2-D89F62F3A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019808"/>
        <c:axId val="669012592"/>
      </c:lineChart>
      <c:catAx>
        <c:axId val="6690198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69012592"/>
        <c:crosses val="autoZero"/>
        <c:auto val="1"/>
        <c:lblAlgn val="ctr"/>
        <c:lblOffset val="100"/>
        <c:noMultiLvlLbl val="0"/>
      </c:catAx>
      <c:valAx>
        <c:axId val="66901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6901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Datos!$A$11</c:f>
              <c:strCache>
                <c:ptCount val="1"/>
                <c:pt idx="0">
                  <c:v>Gasto Sector Ambiente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Datos!$B$2:$AU$2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Datos!$B$11:$AU$11</c:f>
              <c:numCache>
                <c:formatCode>_ * #,##0.0_ ;_ * \-#,##0.0_ ;_ * "-"??_ ;_ @_ </c:formatCode>
                <c:ptCount val="46"/>
                <c:pt idx="0">
                  <c:v>762307.42922441685</c:v>
                </c:pt>
                <c:pt idx="1">
                  <c:v>733470.57105785294</c:v>
                </c:pt>
                <c:pt idx="2">
                  <c:v>848453.51981942332</c:v>
                </c:pt>
                <c:pt idx="3">
                  <c:v>1036405.1871307464</c:v>
                </c:pt>
                <c:pt idx="4">
                  <c:v>1757434.8141495949</c:v>
                </c:pt>
                <c:pt idx="5">
                  <c:v>2059006.6121139624</c:v>
                </c:pt>
                <c:pt idx="6">
                  <c:v>2421251.1255570231</c:v>
                </c:pt>
                <c:pt idx="7">
                  <c:v>2936403.0314698797</c:v>
                </c:pt>
                <c:pt idx="8">
                  <c:v>3175056.3282592166</c:v>
                </c:pt>
                <c:pt idx="9">
                  <c:v>3774958.4686438018</c:v>
                </c:pt>
                <c:pt idx="10">
                  <c:v>4761988.3427274711</c:v>
                </c:pt>
                <c:pt idx="11">
                  <c:v>5808379.2698170524</c:v>
                </c:pt>
                <c:pt idx="12">
                  <c:v>5307477.1392508801</c:v>
                </c:pt>
                <c:pt idx="13">
                  <c:v>4567841.5147789158</c:v>
                </c:pt>
                <c:pt idx="14">
                  <c:v>4503936.1361309662</c:v>
                </c:pt>
                <c:pt idx="15">
                  <c:v>4566939.0973920971</c:v>
                </c:pt>
                <c:pt idx="16">
                  <c:v>4078277.2848559907</c:v>
                </c:pt>
                <c:pt idx="17">
                  <c:v>3713778.4597773021</c:v>
                </c:pt>
                <c:pt idx="18">
                  <c:v>3475820.2934757746</c:v>
                </c:pt>
                <c:pt idx="19">
                  <c:v>3699237.2038811115</c:v>
                </c:pt>
                <c:pt idx="20">
                  <c:v>4058339.9086954845</c:v>
                </c:pt>
                <c:pt idx="21">
                  <c:v>4524087.4600805547</c:v>
                </c:pt>
                <c:pt idx="22">
                  <c:v>4818538.7665590271</c:v>
                </c:pt>
                <c:pt idx="23">
                  <c:v>5043425.6021852307</c:v>
                </c:pt>
                <c:pt idx="24">
                  <c:v>6047373.870613629</c:v>
                </c:pt>
                <c:pt idx="25">
                  <c:v>6506535.4003320998</c:v>
                </c:pt>
                <c:pt idx="26">
                  <c:v>6717848.6741716275</c:v>
                </c:pt>
                <c:pt idx="27">
                  <c:v>7499621.8885395247</c:v>
                </c:pt>
                <c:pt idx="28">
                  <c:v>7451645.8952785628</c:v>
                </c:pt>
                <c:pt idx="29">
                  <c:v>5231582.9577819463</c:v>
                </c:pt>
                <c:pt idx="30">
                  <c:v>4880727.5006178785</c:v>
                </c:pt>
                <c:pt idx="31">
                  <c:v>16113504.248237027</c:v>
                </c:pt>
                <c:pt idx="32">
                  <c:v>16655526.394623311</c:v>
                </c:pt>
                <c:pt idx="33">
                  <c:v>15657262.99</c:v>
                </c:pt>
                <c:pt idx="34">
                  <c:v>15918336.140000001</c:v>
                </c:pt>
                <c:pt idx="35">
                  <c:v>32968504.280000001</c:v>
                </c:pt>
                <c:pt idx="36">
                  <c:v>22574313.609999999</c:v>
                </c:pt>
                <c:pt idx="37">
                  <c:v>26521826.199999999</c:v>
                </c:pt>
                <c:pt idx="38">
                  <c:v>94218945.36999999</c:v>
                </c:pt>
                <c:pt idx="39">
                  <c:v>55039292.739999995</c:v>
                </c:pt>
                <c:pt idx="40">
                  <c:v>102568315.25</c:v>
                </c:pt>
                <c:pt idx="41">
                  <c:v>118840150.61</c:v>
                </c:pt>
                <c:pt idx="42">
                  <c:v>151665161.5</c:v>
                </c:pt>
                <c:pt idx="43">
                  <c:v>118467381.23</c:v>
                </c:pt>
                <c:pt idx="44">
                  <c:v>128862314.86</c:v>
                </c:pt>
                <c:pt idx="45">
                  <c:v>113128736.47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0-42EA-ACD1-69AA6D570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817344"/>
        <c:axId val="433810128"/>
      </c:barChart>
      <c:lineChart>
        <c:grouping val="standard"/>
        <c:varyColors val="0"/>
        <c:ser>
          <c:idx val="1"/>
          <c:order val="1"/>
          <c:tx>
            <c:strRef>
              <c:f>Datos!$A$13</c:f>
              <c:strCache>
                <c:ptCount val="1"/>
                <c:pt idx="0">
                  <c:v>Crecimiento PIB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Datos!$B$13:$AU$13</c:f>
              <c:numCache>
                <c:formatCode>0.0000</c:formatCode>
                <c:ptCount val="46"/>
                <c:pt idx="0">
                  <c:v>-8.0221495334613882E-2</c:v>
                </c:pt>
                <c:pt idx="1">
                  <c:v>-3.7828384010244895E-2</c:v>
                </c:pt>
                <c:pt idx="2">
                  <c:v>0.15676559264775328</c:v>
                </c:pt>
                <c:pt idx="3">
                  <c:v>0.22152264434158378</c:v>
                </c:pt>
                <c:pt idx="4">
                  <c:v>0.69570244916951363</c:v>
                </c:pt>
                <c:pt idx="5">
                  <c:v>0.17159771476946364</c:v>
                </c:pt>
                <c:pt idx="6">
                  <c:v>0.17593169021985205</c:v>
                </c:pt>
                <c:pt idx="7">
                  <c:v>0.21276269135211784</c:v>
                </c:pt>
                <c:pt idx="8">
                  <c:v>8.1274026157735643E-2</c:v>
                </c:pt>
                <c:pt idx="9">
                  <c:v>0.18894220396823408</c:v>
                </c:pt>
                <c:pt idx="10">
                  <c:v>0.26146774389236421</c:v>
                </c:pt>
                <c:pt idx="11">
                  <c:v>0.21973823784924509</c:v>
                </c:pt>
                <c:pt idx="12">
                  <c:v>-8.6237848339051293E-2</c:v>
                </c:pt>
                <c:pt idx="13">
                  <c:v>-0.13935728879585146</c:v>
                </c:pt>
                <c:pt idx="14">
                  <c:v>-1.399027931270995E-2</c:v>
                </c:pt>
                <c:pt idx="15">
                  <c:v>1.3988422428043622E-2</c:v>
                </c:pt>
                <c:pt idx="16">
                  <c:v>-0.10699985309967275</c:v>
                </c:pt>
                <c:pt idx="17">
                  <c:v>-8.9375684785385948E-2</c:v>
                </c:pt>
                <c:pt idx="18">
                  <c:v>-6.4074410705639462E-2</c:v>
                </c:pt>
                <c:pt idx="19">
                  <c:v>6.4277463027849174E-2</c:v>
                </c:pt>
                <c:pt idx="20">
                  <c:v>9.7074798133413812E-2</c:v>
                </c:pt>
                <c:pt idx="21">
                  <c:v>0.11476307107424626</c:v>
                </c:pt>
                <c:pt idx="22">
                  <c:v>6.5085237426694087E-2</c:v>
                </c:pt>
                <c:pt idx="23">
                  <c:v>4.6671168692661302E-2</c:v>
                </c:pt>
                <c:pt idx="24">
                  <c:v>0.19906078677821751</c:v>
                </c:pt>
                <c:pt idx="25">
                  <c:v>7.5927425613571367E-2</c:v>
                </c:pt>
                <c:pt idx="26">
                  <c:v>3.2477080479534792E-2</c:v>
                </c:pt>
                <c:pt idx="27">
                  <c:v>0.11637255500761885</c:v>
                </c:pt>
                <c:pt idx="28">
                  <c:v>-6.3971216114610315E-3</c:v>
                </c:pt>
                <c:pt idx="29">
                  <c:v>-0.29792920499661291</c:v>
                </c:pt>
                <c:pt idx="30">
                  <c:v>-6.7064875009230751E-2</c:v>
                </c:pt>
                <c:pt idx="31">
                  <c:v>0.33570920617791716</c:v>
                </c:pt>
                <c:pt idx="32">
                  <c:v>0.16677157781628199</c:v>
                </c:pt>
                <c:pt idx="33">
                  <c:v>0.13604401143369746</c:v>
                </c:pt>
                <c:pt idx="34">
                  <c:v>0.12822807660058821</c:v>
                </c:pt>
                <c:pt idx="35">
                  <c:v>0.13433180855058752</c:v>
                </c:pt>
                <c:pt idx="36">
                  <c:v>0.12756759478532401</c:v>
                </c:pt>
                <c:pt idx="37">
                  <c:v>8.9862164994332291E-2</c:v>
                </c:pt>
                <c:pt idx="38">
                  <c:v>0.21084741646357183</c:v>
                </c:pt>
                <c:pt idx="39">
                  <c:v>1.2257427164498408E-2</c:v>
                </c:pt>
                <c:pt idx="40">
                  <c:v>0.11253545003409006</c:v>
                </c:pt>
                <c:pt idx="41">
                  <c:v>0.13976343479001413</c:v>
                </c:pt>
                <c:pt idx="42">
                  <c:v>0.10908481214598031</c:v>
                </c:pt>
                <c:pt idx="43">
                  <c:v>7.792620454193086E-2</c:v>
                </c:pt>
                <c:pt idx="44">
                  <c:v>6.479689989582825E-2</c:v>
                </c:pt>
                <c:pt idx="45">
                  <c:v>-4.5187462868137308E-4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30-42EA-ACD1-69AA6D570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721664"/>
        <c:axId val="443721992"/>
      </c:lineChart>
      <c:catAx>
        <c:axId val="43381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33810128"/>
        <c:crosses val="autoZero"/>
        <c:auto val="1"/>
        <c:lblAlgn val="ctr"/>
        <c:lblOffset val="100"/>
        <c:noMultiLvlLbl val="0"/>
      </c:catAx>
      <c:valAx>
        <c:axId val="43381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_ ;_ * \-#,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3381734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s-EC"/>
                    <a:t>USD Millones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</c:dispUnitsLbl>
        </c:dispUnits>
      </c:valAx>
      <c:valAx>
        <c:axId val="443721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Crecimiento</a:t>
                </a:r>
                <a:r>
                  <a:rPr lang="en-US" baseline="0"/>
                  <a:t> del </a:t>
                </a:r>
                <a:r>
                  <a:rPr lang="en-US"/>
                  <a:t> PIB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43721664"/>
        <c:crosses val="max"/>
        <c:crossBetween val="between"/>
      </c:valAx>
      <c:catAx>
        <c:axId val="443721664"/>
        <c:scaling>
          <c:orientation val="minMax"/>
        </c:scaling>
        <c:delete val="1"/>
        <c:axPos val="b"/>
        <c:majorTickMark val="out"/>
        <c:minorTickMark val="none"/>
        <c:tickLblPos val="nextTo"/>
        <c:crossAx val="443721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Datos!$A$11</c:f>
              <c:strCache>
                <c:ptCount val="1"/>
                <c:pt idx="0">
                  <c:v>Gasto Sector Ambiente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Datos!$B$2:$AU$2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Datos!$B$11:$AU$11</c:f>
              <c:numCache>
                <c:formatCode>_ * #,##0.0_ ;_ * \-#,##0.0_ ;_ * "-"??_ ;_ @_ </c:formatCode>
                <c:ptCount val="46"/>
                <c:pt idx="0">
                  <c:v>762307.42922441685</c:v>
                </c:pt>
                <c:pt idx="1">
                  <c:v>733470.57105785294</c:v>
                </c:pt>
                <c:pt idx="2">
                  <c:v>848453.51981942332</c:v>
                </c:pt>
                <c:pt idx="3">
                  <c:v>1036405.1871307464</c:v>
                </c:pt>
                <c:pt idx="4">
                  <c:v>1757434.8141495949</c:v>
                </c:pt>
                <c:pt idx="5">
                  <c:v>2059006.6121139624</c:v>
                </c:pt>
                <c:pt idx="6">
                  <c:v>2421251.1255570231</c:v>
                </c:pt>
                <c:pt idx="7">
                  <c:v>2936403.0314698797</c:v>
                </c:pt>
                <c:pt idx="8">
                  <c:v>3175056.3282592166</c:v>
                </c:pt>
                <c:pt idx="9">
                  <c:v>3774958.4686438018</c:v>
                </c:pt>
                <c:pt idx="10">
                  <c:v>4761988.3427274711</c:v>
                </c:pt>
                <c:pt idx="11">
                  <c:v>5808379.2698170524</c:v>
                </c:pt>
                <c:pt idx="12">
                  <c:v>5307477.1392508801</c:v>
                </c:pt>
                <c:pt idx="13">
                  <c:v>4567841.5147789158</c:v>
                </c:pt>
                <c:pt idx="14">
                  <c:v>4503936.1361309662</c:v>
                </c:pt>
                <c:pt idx="15">
                  <c:v>4566939.0973920971</c:v>
                </c:pt>
                <c:pt idx="16">
                  <c:v>4078277.2848559907</c:v>
                </c:pt>
                <c:pt idx="17">
                  <c:v>3713778.4597773021</c:v>
                </c:pt>
                <c:pt idx="18">
                  <c:v>3475820.2934757746</c:v>
                </c:pt>
                <c:pt idx="19">
                  <c:v>3699237.2038811115</c:v>
                </c:pt>
                <c:pt idx="20">
                  <c:v>4058339.9086954845</c:v>
                </c:pt>
                <c:pt idx="21">
                  <c:v>4524087.4600805547</c:v>
                </c:pt>
                <c:pt idx="22">
                  <c:v>4818538.7665590271</c:v>
                </c:pt>
                <c:pt idx="23">
                  <c:v>5043425.6021852307</c:v>
                </c:pt>
                <c:pt idx="24">
                  <c:v>6047373.870613629</c:v>
                </c:pt>
                <c:pt idx="25">
                  <c:v>6506535.4003320998</c:v>
                </c:pt>
                <c:pt idx="26">
                  <c:v>6717848.6741716275</c:v>
                </c:pt>
                <c:pt idx="27">
                  <c:v>7499621.8885395247</c:v>
                </c:pt>
                <c:pt idx="28">
                  <c:v>7451645.8952785628</c:v>
                </c:pt>
                <c:pt idx="29">
                  <c:v>5231582.9577819463</c:v>
                </c:pt>
                <c:pt idx="30">
                  <c:v>4880727.5006178785</c:v>
                </c:pt>
                <c:pt idx="31">
                  <c:v>16113504.248237027</c:v>
                </c:pt>
                <c:pt idx="32">
                  <c:v>16655526.394623311</c:v>
                </c:pt>
                <c:pt idx="33">
                  <c:v>15657262.99</c:v>
                </c:pt>
                <c:pt idx="34">
                  <c:v>15918336.140000001</c:v>
                </c:pt>
                <c:pt idx="35">
                  <c:v>32968504.280000001</c:v>
                </c:pt>
                <c:pt idx="36">
                  <c:v>22574313.609999999</c:v>
                </c:pt>
                <c:pt idx="37">
                  <c:v>26521826.199999999</c:v>
                </c:pt>
                <c:pt idx="38">
                  <c:v>94218945.36999999</c:v>
                </c:pt>
                <c:pt idx="39">
                  <c:v>55039292.739999995</c:v>
                </c:pt>
                <c:pt idx="40">
                  <c:v>102568315.25</c:v>
                </c:pt>
                <c:pt idx="41">
                  <c:v>118840150.61</c:v>
                </c:pt>
                <c:pt idx="42">
                  <c:v>151665161.5</c:v>
                </c:pt>
                <c:pt idx="43">
                  <c:v>118467381.23</c:v>
                </c:pt>
                <c:pt idx="44">
                  <c:v>128862314.86</c:v>
                </c:pt>
                <c:pt idx="45">
                  <c:v>113128736.47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D-4257-A6EA-2FAA86E71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5553104"/>
        <c:axId val="435553760"/>
      </c:barChart>
      <c:lineChart>
        <c:grouping val="standard"/>
        <c:varyColors val="0"/>
        <c:ser>
          <c:idx val="1"/>
          <c:order val="1"/>
          <c:tx>
            <c:strRef>
              <c:f>Datos!$A$18</c:f>
              <c:strCache>
                <c:ptCount val="1"/>
                <c:pt idx="0">
                  <c:v>t/t-1 gasto ambiente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Datos!$B$2:$AU$2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Datos!$B$18:$AU$18</c:f>
              <c:numCache>
                <c:formatCode>0%</c:formatCode>
                <c:ptCount val="46"/>
                <c:pt idx="1">
                  <c:v>-3.782838401024502E-2</c:v>
                </c:pt>
                <c:pt idx="2">
                  <c:v>0.15676559264775336</c:v>
                </c:pt>
                <c:pt idx="3">
                  <c:v>0.22152264434158386</c:v>
                </c:pt>
                <c:pt idx="4">
                  <c:v>0.69570244916951363</c:v>
                </c:pt>
                <c:pt idx="5">
                  <c:v>0.17159771476946362</c:v>
                </c:pt>
                <c:pt idx="6">
                  <c:v>0.175931690219852</c:v>
                </c:pt>
                <c:pt idx="7">
                  <c:v>0.21276269135211767</c:v>
                </c:pt>
                <c:pt idx="8">
                  <c:v>8.1274026157735602E-2</c:v>
                </c:pt>
                <c:pt idx="9">
                  <c:v>0.18894220396823402</c:v>
                </c:pt>
                <c:pt idx="10">
                  <c:v>0.26146774389236427</c:v>
                </c:pt>
                <c:pt idx="11">
                  <c:v>0.21973823784924496</c:v>
                </c:pt>
                <c:pt idx="12">
                  <c:v>-8.6237848339051237E-2</c:v>
                </c:pt>
                <c:pt idx="13">
                  <c:v>-0.13935728879585141</c:v>
                </c:pt>
                <c:pt idx="14">
                  <c:v>-1.3990279312710019E-2</c:v>
                </c:pt>
                <c:pt idx="15">
                  <c:v>1.3988422428043767E-2</c:v>
                </c:pt>
                <c:pt idx="16">
                  <c:v>-0.10699985309967275</c:v>
                </c:pt>
                <c:pt idx="17">
                  <c:v>-8.9375684785385934E-2</c:v>
                </c:pt>
                <c:pt idx="18">
                  <c:v>-6.4074410705639351E-2</c:v>
                </c:pt>
                <c:pt idx="19">
                  <c:v>6.4277463027849091E-2</c:v>
                </c:pt>
                <c:pt idx="20">
                  <c:v>9.7074798133413909E-2</c:v>
                </c:pt>
                <c:pt idx="21">
                  <c:v>0.11476307107424621</c:v>
                </c:pt>
                <c:pt idx="22">
                  <c:v>6.5085237426694142E-2</c:v>
                </c:pt>
                <c:pt idx="23">
                  <c:v>4.667116869266108E-2</c:v>
                </c:pt>
                <c:pt idx="24">
                  <c:v>0.1990607867782177</c:v>
                </c:pt>
                <c:pt idx="25">
                  <c:v>7.5927425613571353E-2</c:v>
                </c:pt>
                <c:pt idx="26">
                  <c:v>3.2477080479534903E-2</c:v>
                </c:pt>
                <c:pt idx="27">
                  <c:v>0.11637255500761889</c:v>
                </c:pt>
                <c:pt idx="28">
                  <c:v>-6.3971216114609986E-3</c:v>
                </c:pt>
                <c:pt idx="29">
                  <c:v>-0.29792920499661302</c:v>
                </c:pt>
                <c:pt idx="30">
                  <c:v>-6.7064875009230751E-2</c:v>
                </c:pt>
                <c:pt idx="31">
                  <c:v>2.301455417496086</c:v>
                </c:pt>
                <c:pt idx="32">
                  <c:v>3.3637757376430821E-2</c:v>
                </c:pt>
                <c:pt idx="33">
                  <c:v>-5.9935866388802217E-2</c:v>
                </c:pt>
                <c:pt idx="34">
                  <c:v>1.6674252081397833E-2</c:v>
                </c:pt>
                <c:pt idx="35">
                  <c:v>1.071102406058376</c:v>
                </c:pt>
                <c:pt idx="36">
                  <c:v>-0.31527637959316002</c:v>
                </c:pt>
                <c:pt idx="37">
                  <c:v>0.174867447055016</c:v>
                </c:pt>
                <c:pt idx="38">
                  <c:v>2.5525059496091558</c:v>
                </c:pt>
                <c:pt idx="39">
                  <c:v>-0.41583624690491483</c:v>
                </c:pt>
                <c:pt idx="40">
                  <c:v>0.86354711595808942</c:v>
                </c:pt>
                <c:pt idx="41">
                  <c:v>0.15864387867090368</c:v>
                </c:pt>
                <c:pt idx="42">
                  <c:v>0.27621145481145071</c:v>
                </c:pt>
                <c:pt idx="43">
                  <c:v>-0.21888863560798699</c:v>
                </c:pt>
                <c:pt idx="44">
                  <c:v>8.7745111963086542E-2</c:v>
                </c:pt>
                <c:pt idx="45">
                  <c:v>-0.12209604031320909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DD-4257-A6EA-2FAA86E71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373536"/>
        <c:axId val="503373208"/>
      </c:lineChart>
      <c:catAx>
        <c:axId val="43555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35553760"/>
        <c:crosses val="autoZero"/>
        <c:auto val="1"/>
        <c:lblAlgn val="ctr"/>
        <c:lblOffset val="100"/>
        <c:noMultiLvlLbl val="0"/>
      </c:catAx>
      <c:valAx>
        <c:axId val="43555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_ ;_ * \-#,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35553104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</c:dispUnitsLbl>
        </c:dispUnits>
      </c:valAx>
      <c:valAx>
        <c:axId val="5033732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03373536"/>
        <c:crosses val="max"/>
        <c:crossBetween val="between"/>
      </c:valAx>
      <c:catAx>
        <c:axId val="50337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3373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10914260717409"/>
          <c:y val="2.5428331875182269E-2"/>
          <c:w val="0.77144641294838145"/>
          <c:h val="0.80808690580344122"/>
        </c:manualLayout>
      </c:layout>
      <c:lineChart>
        <c:grouping val="stacked"/>
        <c:varyColors val="0"/>
        <c:ser>
          <c:idx val="0"/>
          <c:order val="0"/>
          <c:tx>
            <c:strRef>
              <c:f>'[1]Brecha ambiental'!$A$11</c:f>
              <c:strCache>
                <c:ptCount val="1"/>
                <c:pt idx="0">
                  <c:v>Total Recursos Ambiente (1)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'[1]Brecha ambiental'!$B$2:$AU$2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'[1]Brecha ambiental'!$B$11:$AU$11</c:f>
              <c:numCache>
                <c:formatCode>General</c:formatCode>
                <c:ptCount val="46"/>
                <c:pt idx="0">
                  <c:v>762307.42922441685</c:v>
                </c:pt>
                <c:pt idx="1">
                  <c:v>733470.57105785294</c:v>
                </c:pt>
                <c:pt idx="2">
                  <c:v>848453.51981942332</c:v>
                </c:pt>
                <c:pt idx="3">
                  <c:v>1036405.1871307464</c:v>
                </c:pt>
                <c:pt idx="4">
                  <c:v>1757434.8141495949</c:v>
                </c:pt>
                <c:pt idx="5">
                  <c:v>2059006.6121139624</c:v>
                </c:pt>
                <c:pt idx="6">
                  <c:v>2421251.1255570231</c:v>
                </c:pt>
                <c:pt idx="7">
                  <c:v>2936403.0314698797</c:v>
                </c:pt>
                <c:pt idx="8">
                  <c:v>3175056.3282592166</c:v>
                </c:pt>
                <c:pt idx="9">
                  <c:v>3774958.4686438018</c:v>
                </c:pt>
                <c:pt idx="10">
                  <c:v>4761988.3427274711</c:v>
                </c:pt>
                <c:pt idx="11">
                  <c:v>5808379.2698170524</c:v>
                </c:pt>
                <c:pt idx="12">
                  <c:v>5307477.1392508801</c:v>
                </c:pt>
                <c:pt idx="13">
                  <c:v>4567841.5147789158</c:v>
                </c:pt>
                <c:pt idx="14">
                  <c:v>4503936.1361309662</c:v>
                </c:pt>
                <c:pt idx="15">
                  <c:v>4566939.0973920971</c:v>
                </c:pt>
                <c:pt idx="16">
                  <c:v>4078277.2848559907</c:v>
                </c:pt>
                <c:pt idx="17">
                  <c:v>3713778.4597773021</c:v>
                </c:pt>
                <c:pt idx="18">
                  <c:v>3475820.2934757746</c:v>
                </c:pt>
                <c:pt idx="19">
                  <c:v>3699237.2038811115</c:v>
                </c:pt>
                <c:pt idx="20">
                  <c:v>4058339.9086954845</c:v>
                </c:pt>
                <c:pt idx="21">
                  <c:v>4524087.4600805547</c:v>
                </c:pt>
                <c:pt idx="22">
                  <c:v>4818538.7665590271</c:v>
                </c:pt>
                <c:pt idx="23">
                  <c:v>5043425.6021852307</c:v>
                </c:pt>
                <c:pt idx="24">
                  <c:v>6047373.870613629</c:v>
                </c:pt>
                <c:pt idx="25">
                  <c:v>6506535.4003320998</c:v>
                </c:pt>
                <c:pt idx="26">
                  <c:v>6717848.6741716275</c:v>
                </c:pt>
                <c:pt idx="27">
                  <c:v>7499621.8885395247</c:v>
                </c:pt>
                <c:pt idx="28">
                  <c:v>7451645.8952785628</c:v>
                </c:pt>
                <c:pt idx="29">
                  <c:v>5231582.9577819463</c:v>
                </c:pt>
                <c:pt idx="30">
                  <c:v>4880727.5006178785</c:v>
                </c:pt>
                <c:pt idx="31">
                  <c:v>16113504.248237027</c:v>
                </c:pt>
                <c:pt idx="32">
                  <c:v>16655526.394623311</c:v>
                </c:pt>
                <c:pt idx="33">
                  <c:v>15657262.99</c:v>
                </c:pt>
                <c:pt idx="34">
                  <c:v>15918336.140000001</c:v>
                </c:pt>
                <c:pt idx="35">
                  <c:v>32968504.280000001</c:v>
                </c:pt>
                <c:pt idx="36">
                  <c:v>22574313.609999999</c:v>
                </c:pt>
                <c:pt idx="37">
                  <c:v>26521826.199999999</c:v>
                </c:pt>
                <c:pt idx="38">
                  <c:v>94218945.36999999</c:v>
                </c:pt>
                <c:pt idx="39">
                  <c:v>55039292.739999995</c:v>
                </c:pt>
                <c:pt idx="40">
                  <c:v>102568315.25</c:v>
                </c:pt>
                <c:pt idx="41">
                  <c:v>118840150.61</c:v>
                </c:pt>
                <c:pt idx="42">
                  <c:v>151665161.5</c:v>
                </c:pt>
                <c:pt idx="43">
                  <c:v>118467381.23</c:v>
                </c:pt>
                <c:pt idx="44">
                  <c:v>128862314.86</c:v>
                </c:pt>
                <c:pt idx="45">
                  <c:v>113128736.47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AC-4661-A150-D403D8D91279}"/>
            </c:ext>
          </c:extLst>
        </c:ser>
        <c:ser>
          <c:idx val="1"/>
          <c:order val="1"/>
          <c:tx>
            <c:strRef>
              <c:f>'[1]Brecha ambiental'!$A$22</c:f>
              <c:strCache>
                <c:ptCount val="1"/>
                <c:pt idx="0">
                  <c:v>Costo (2)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'[1]Brecha ambiental'!$B$2:$AU$2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'[1]Brecha ambiental'!$B$22:$AU$22</c:f>
              <c:numCache>
                <c:formatCode>General</c:formatCode>
                <c:ptCount val="46"/>
                <c:pt idx="0">
                  <c:v>7580027.0562787941</c:v>
                </c:pt>
                <c:pt idx="1">
                  <c:v>7293286.8819858329</c:v>
                </c:pt>
                <c:pt idx="2">
                  <c:v>8436623.3223904278</c:v>
                </c:pt>
                <c:pt idx="3">
                  <c:v>10305526.430080231</c:v>
                </c:pt>
                <c:pt idx="4">
                  <c:v>17475106.407468207</c:v>
                </c:pt>
                <c:pt idx="5">
                  <c:v>20473794.732342962</c:v>
                </c:pt>
                <c:pt idx="6">
                  <c:v>24075784.044818364</c:v>
                </c:pt>
                <c:pt idx="7">
                  <c:v>29198212.654606294</c:v>
                </c:pt>
                <c:pt idx="8">
                  <c:v>31571268.953655895</c:v>
                </c:pt>
                <c:pt idx="9">
                  <c:v>37536414.091833517</c:v>
                </c:pt>
                <c:pt idx="10">
                  <c:v>47350975.59823478</c:v>
                </c:pt>
                <c:pt idx="11">
                  <c:v>57755795.536633492</c:v>
                </c:pt>
                <c:pt idx="12">
                  <c:v>52775060.000444032</c:v>
                </c:pt>
                <c:pt idx="13">
                  <c:v>45420470.722743772</c:v>
                </c:pt>
                <c:pt idx="14">
                  <c:v>44785025.650817819</c:v>
                </c:pt>
                <c:pt idx="15">
                  <c:v>45411497.508072227</c:v>
                </c:pt>
                <c:pt idx="16">
                  <c:v>40552473.945672341</c:v>
                </c:pt>
                <c:pt idx="17">
                  <c:v>36928068.817036361</c:v>
                </c:pt>
                <c:pt idx="18">
                  <c:v>34561924.569087453</c:v>
                </c:pt>
                <c:pt idx="19">
                  <c:v>36783477.397748284</c:v>
                </c:pt>
                <c:pt idx="20">
                  <c:v>40354226.040779687</c:v>
                </c:pt>
                <c:pt idx="21">
                  <c:v>44985400.952043884</c:v>
                </c:pt>
                <c:pt idx="22">
                  <c:v>47913286.45374269</c:v>
                </c:pt>
                <c:pt idx="23">
                  <c:v>50149455.528445117</c:v>
                </c:pt>
                <c:pt idx="24">
                  <c:v>60132245.602436632</c:v>
                </c:pt>
                <c:pt idx="25">
                  <c:v>64697932.207392648</c:v>
                </c:pt>
                <c:pt idx="26">
                  <c:v>66799132.158551626</c:v>
                </c:pt>
                <c:pt idx="27">
                  <c:v>74572717.840133876</c:v>
                </c:pt>
                <c:pt idx="28">
                  <c:v>74095667.095213354</c:v>
                </c:pt>
                <c:pt idx="29">
                  <c:v>52020403.903842755</c:v>
                </c:pt>
                <c:pt idx="30">
                  <c:v>48531662.018101841</c:v>
                </c:pt>
                <c:pt idx="31">
                  <c:v>64824187.748693787</c:v>
                </c:pt>
                <c:pt idx="32">
                  <c:v>75635019.820202351</c:v>
                </c:pt>
                <c:pt idx="33">
                  <c:v>85924711.321409896</c:v>
                </c:pt>
                <c:pt idx="34">
                  <c:v>96942671.786615059</c:v>
                </c:pt>
                <c:pt idx="35">
                  <c:v>109965156.21343708</c:v>
                </c:pt>
                <c:pt idx="36">
                  <c:v>123993146.70177767</c:v>
                </c:pt>
                <c:pt idx="37">
                  <c:v>135135439.30885926</c:v>
                </c:pt>
                <c:pt idx="38">
                  <c:v>163628397.55980206</c:v>
                </c:pt>
                <c:pt idx="39">
                  <c:v>165634060.72493491</c:v>
                </c:pt>
                <c:pt idx="40">
                  <c:v>184273764.28958929</c:v>
                </c:pt>
                <c:pt idx="41">
                  <c:v>210028498.52838773</c:v>
                </c:pt>
                <c:pt idx="42">
                  <c:v>232939417.83565921</c:v>
                </c:pt>
                <c:pt idx="43">
                  <c:v>251091502.55579907</c:v>
                </c:pt>
                <c:pt idx="44">
                  <c:v>267361453.51160026</c:v>
                </c:pt>
                <c:pt idx="45">
                  <c:v>267240639.654071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AC-4661-A150-D403D8D91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073304"/>
        <c:axId val="592074616"/>
      </c:lineChart>
      <c:catAx>
        <c:axId val="59207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92074616"/>
        <c:crosses val="autoZero"/>
        <c:auto val="1"/>
        <c:lblAlgn val="ctr"/>
        <c:lblOffset val="100"/>
        <c:noMultiLvlLbl val="0"/>
      </c:catAx>
      <c:valAx>
        <c:axId val="59207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92073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 STOCK Brecha Ambiente (de cada año), 1970=100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'[1]Brecha ambiental'!$A$31</c:f>
              <c:strCache>
                <c:ptCount val="1"/>
                <c:pt idx="0">
                  <c:v>Índice STOCK Brecha Ambiente (de cada año), 1970=100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'[1]Brecha ambiental'!$B$2:$AU$2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'[1]Brecha ambiental'!$B$31:$AU$31</c:f>
              <c:numCache>
                <c:formatCode>General</c:formatCode>
                <c:ptCount val="46"/>
                <c:pt idx="0">
                  <c:v>100</c:v>
                </c:pt>
                <c:pt idx="1">
                  <c:v>196.21716159897551</c:v>
                </c:pt>
                <c:pt idx="2">
                  <c:v>307.51786355889908</c:v>
                </c:pt>
                <c:pt idx="3">
                  <c:v>443.47419133405941</c:v>
                </c:pt>
                <c:pt idx="4">
                  <c:v>674.01566932249193</c:v>
                </c:pt>
                <c:pt idx="5">
                  <c:v>944.11753809331401</c:v>
                </c:pt>
                <c:pt idx="6">
                  <c:v>1261.7388851685278</c:v>
                </c:pt>
                <c:pt idx="7">
                  <c:v>1646.9382048783486</c:v>
                </c:pt>
                <c:pt idx="8">
                  <c:v>2063.4442241742081</c:v>
                </c:pt>
                <c:pt idx="9">
                  <c:v>2558.6458087218625</c:v>
                </c:pt>
                <c:pt idx="10">
                  <c:v>3183.3266343531159</c:v>
                </c:pt>
                <c:pt idx="11">
                  <c:v>3945.2737238267923</c:v>
                </c:pt>
                <c:pt idx="12">
                  <c:v>4641.5121357560574</c:v>
                </c:pt>
                <c:pt idx="13">
                  <c:v>5240.72465024333</c:v>
                </c:pt>
                <c:pt idx="14">
                  <c:v>5831.5540142852551</c:v>
                </c:pt>
                <c:pt idx="15">
                  <c:v>6430.6481490542892</c:v>
                </c:pt>
                <c:pt idx="16">
                  <c:v>6965.6392994101634</c:v>
                </c:pt>
                <c:pt idx="17">
                  <c:v>7452.8152493488578</c:v>
                </c:pt>
                <c:pt idx="18">
                  <c:v>7908.7756873852713</c:v>
                </c:pt>
                <c:pt idx="19">
                  <c:v>8394.0441056197324</c:v>
                </c:pt>
                <c:pt idx="20">
                  <c:v>8926.4198575948249</c:v>
                </c:pt>
                <c:pt idx="21">
                  <c:v>9519.892685832041</c:v>
                </c:pt>
                <c:pt idx="22">
                  <c:v>10151.991834001365</c:v>
                </c:pt>
                <c:pt idx="23">
                  <c:v>10813.59178814539</c:v>
                </c:pt>
                <c:pt idx="24">
                  <c:v>11606.890349693755</c:v>
                </c:pt>
                <c:pt idx="25">
                  <c:v>12460.422028763438</c:v>
                </c:pt>
                <c:pt idx="26">
                  <c:v>13341.6739248661</c:v>
                </c:pt>
                <c:pt idx="27">
                  <c:v>14325.479355723535</c:v>
                </c:pt>
                <c:pt idx="28">
                  <c:v>15302.991263597763</c:v>
                </c:pt>
                <c:pt idx="29">
                  <c:v>15989.273825884296</c:v>
                </c:pt>
                <c:pt idx="30">
                  <c:v>16629.530933910071</c:v>
                </c:pt>
                <c:pt idx="31">
                  <c:v>17344.002724553397</c:v>
                </c:pt>
                <c:pt idx="32">
                  <c:v>18209.093937626079</c:v>
                </c:pt>
                <c:pt idx="33">
                  <c:v>19239.753046172747</c:v>
                </c:pt>
                <c:pt idx="34">
                  <c:v>20428.19053082804</c:v>
                </c:pt>
                <c:pt idx="35">
                  <c:v>21557.551316330209</c:v>
                </c:pt>
                <c:pt idx="36">
                  <c:v>23045.128374930904</c:v>
                </c:pt>
                <c:pt idx="37">
                  <c:v>24638.236027493407</c:v>
                </c:pt>
                <c:pt idx="38">
                  <c:v>25656.310339531239</c:v>
                </c:pt>
                <c:pt idx="39">
                  <c:v>27278.476900122376</c:v>
                </c:pt>
                <c:pt idx="40">
                  <c:v>28476.904725100132</c:v>
                </c:pt>
                <c:pt idx="41">
                  <c:v>29814.424495736195</c:v>
                </c:pt>
                <c:pt idx="42">
                  <c:v>31006.52773232491</c:v>
                </c:pt>
                <c:pt idx="43">
                  <c:v>32951.813378855666</c:v>
                </c:pt>
                <c:pt idx="44">
                  <c:v>34983.271787646809</c:v>
                </c:pt>
                <c:pt idx="45">
                  <c:v>37243.732933225714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7D-4284-A433-08B181B66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909024"/>
        <c:axId val="577909352"/>
      </c:lineChart>
      <c:catAx>
        <c:axId val="57790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77909352"/>
        <c:crosses val="autoZero"/>
        <c:auto val="1"/>
        <c:lblAlgn val="ctr"/>
        <c:lblOffset val="100"/>
        <c:noMultiLvlLbl val="0"/>
      </c:catAx>
      <c:valAx>
        <c:axId val="5779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7790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9.6650262467191592E-2"/>
          <c:y val="9.3009259259259264E-2"/>
          <c:w val="0.85991885389326339"/>
          <c:h val="0.68729986876640425"/>
        </c:manualLayout>
      </c:layout>
      <c:lineChart>
        <c:grouping val="stacked"/>
        <c:varyColors val="0"/>
        <c:ser>
          <c:idx val="0"/>
          <c:order val="0"/>
          <c:tx>
            <c:strRef>
              <c:f>'[1]Brecha ambiental'!$A$39</c:f>
              <c:strCache>
                <c:ptCount val="1"/>
                <c:pt idx="0">
                  <c:v>STOCK Brecha Ambiente (2015) en %PIB del 2015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'[1]Brecha ambiental'!$B$2:$AU$2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'[1]Brecha ambiental'!$B$39:$AU$39</c:f>
              <c:numCache>
                <c:formatCode>General</c:formatCode>
                <c:ptCount val="46"/>
                <c:pt idx="0">
                  <c:v>4.8589328968685797</c:v>
                </c:pt>
                <c:pt idx="1">
                  <c:v>9.1031367089951445</c:v>
                </c:pt>
                <c:pt idx="2">
                  <c:v>13.559524298025821</c:v>
                </c:pt>
                <c:pt idx="3">
                  <c:v>18.499878241470991</c:v>
                </c:pt>
                <c:pt idx="4">
                  <c:v>26.101504103128981</c:v>
                </c:pt>
                <c:pt idx="5">
                  <c:v>34.181314873248589</c:v>
                </c:pt>
                <c:pt idx="6">
                  <c:v>42.799349554049435</c:v>
                </c:pt>
                <c:pt idx="7">
                  <c:v>52.277164179508262</c:v>
                </c:pt>
                <c:pt idx="8">
                  <c:v>61.56804052211826</c:v>
                </c:pt>
                <c:pt idx="9">
                  <c:v>71.579718084444835</c:v>
                </c:pt>
                <c:pt idx="10">
                  <c:v>83.022615710960181</c:v>
                </c:pt>
                <c:pt idx="11">
                  <c:v>95.664289637126956</c:v>
                </c:pt>
                <c:pt idx="12">
                  <c:v>106.12285856110677</c:v>
                </c:pt>
                <c:pt idx="13">
                  <c:v>114.26885087738789</c:v>
                </c:pt>
                <c:pt idx="14">
                  <c:v>121.53439146156906</c:v>
                </c:pt>
                <c:pt idx="15">
                  <c:v>128.19501188879372</c:v>
                </c:pt>
                <c:pt idx="16">
                  <c:v>133.56935374914104</c:v>
                </c:pt>
                <c:pt idx="17">
                  <c:v>137.98851659982807</c:v>
                </c:pt>
                <c:pt idx="18">
                  <c:v>141.72050764364556</c:v>
                </c:pt>
                <c:pt idx="19">
                  <c:v>145.30148550348895</c:v>
                </c:pt>
                <c:pt idx="20">
                  <c:v>148.84022946588553</c:v>
                </c:pt>
                <c:pt idx="21">
                  <c:v>152.39000169765984</c:v>
                </c:pt>
                <c:pt idx="22">
                  <c:v>155.78826323662557</c:v>
                </c:pt>
                <c:pt idx="23">
                  <c:v>158.98112339032369</c:v>
                </c:pt>
                <c:pt idx="24">
                  <c:v>162.41277426040173</c:v>
                </c:pt>
                <c:pt idx="25">
                  <c:v>165.71688226072359</c:v>
                </c:pt>
                <c:pt idx="26">
                  <c:v>168.76402202642237</c:v>
                </c:pt>
                <c:pt idx="27">
                  <c:v>171.79606728050288</c:v>
                </c:pt>
                <c:pt idx="28">
                  <c:v>174.47477712794165</c:v>
                </c:pt>
                <c:pt idx="29">
                  <c:v>176.14228576157217</c:v>
                </c:pt>
                <c:pt idx="30">
                  <c:v>177.5171982052515</c:v>
                </c:pt>
                <c:pt idx="31">
                  <c:v>178.86810199161104</c:v>
                </c:pt>
                <c:pt idx="32">
                  <c:v>180.30193936719229</c:v>
                </c:pt>
                <c:pt idx="33">
                  <c:v>181.79157224933229</c:v>
                </c:pt>
                <c:pt idx="34">
                  <c:v>183.28007145964861</c:v>
                </c:pt>
                <c:pt idx="35">
                  <c:v>184.49659451135929</c:v>
                </c:pt>
                <c:pt idx="36">
                  <c:v>185.86190683036486</c:v>
                </c:pt>
                <c:pt idx="37">
                  <c:v>187.09326534191828</c:v>
                </c:pt>
                <c:pt idx="38">
                  <c:v>187.74607369646679</c:v>
                </c:pt>
                <c:pt idx="39">
                  <c:v>188.59200521706197</c:v>
                </c:pt>
                <c:pt idx="40">
                  <c:v>189.08651417326607</c:v>
                </c:pt>
                <c:pt idx="41">
                  <c:v>189.50606180556127</c:v>
                </c:pt>
                <c:pt idx="42">
                  <c:v>189.77275464585844</c:v>
                </c:pt>
                <c:pt idx="43">
                  <c:v>190.04885831171478</c:v>
                </c:pt>
                <c:pt idx="44">
                  <c:v>190.18616049115667</c:v>
                </c:pt>
                <c:pt idx="45">
                  <c:v>190.33894050402262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8B-466A-A27D-27E32A4FF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021368"/>
        <c:axId val="577019072"/>
      </c:lineChart>
      <c:catAx>
        <c:axId val="577021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77019072"/>
        <c:crosses val="autoZero"/>
        <c:auto val="1"/>
        <c:lblAlgn val="ctr"/>
        <c:lblOffset val="100"/>
        <c:noMultiLvlLbl val="0"/>
      </c:catAx>
      <c:valAx>
        <c:axId val="57701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77021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 Brecha Ambiente STOCK</a:t>
            </a:r>
            <a:r>
              <a:rPr lang="en-US" baseline="0"/>
              <a:t> </a:t>
            </a:r>
            <a:r>
              <a:rPr lang="en-US"/>
              <a:t>(2015),</a:t>
            </a:r>
            <a:r>
              <a:rPr lang="en-US" baseline="0"/>
              <a:t> 1970=100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9.6827346949250576E-2"/>
          <c:y val="0.14163567079677891"/>
          <c:w val="0.85958675820571018"/>
          <c:h val="0.69229557881536175"/>
        </c:manualLayout>
      </c:layout>
      <c:lineChart>
        <c:grouping val="stacked"/>
        <c:varyColors val="0"/>
        <c:ser>
          <c:idx val="0"/>
          <c:order val="0"/>
          <c:tx>
            <c:strRef>
              <c:f>'[1]Brecha ambiental'!$A$42</c:f>
              <c:strCache>
                <c:ptCount val="1"/>
                <c:pt idx="0">
                  <c:v>Índice Brecha Ambiente STOCK  (2015), 1970=100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'[1]Brecha ambiental'!$B$2:$AU$2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'[1]Brecha ambiental'!$B$42:$AU$42</c:f>
              <c:numCache>
                <c:formatCode>General</c:formatCode>
                <c:ptCount val="46"/>
                <c:pt idx="0">
                  <c:v>100</c:v>
                </c:pt>
                <c:pt idx="1">
                  <c:v>187.34847552354168</c:v>
                </c:pt>
                <c:pt idx="2">
                  <c:v>279.06383121208535</c:v>
                </c:pt>
                <c:pt idx="3">
                  <c:v>380.73952931915454</c:v>
                </c:pt>
                <c:pt idx="4">
                  <c:v>537.18593479548838</c:v>
                </c:pt>
                <c:pt idx="5">
                  <c:v>703.47369677151346</c:v>
                </c:pt>
                <c:pt idx="6">
                  <c:v>880.8384569713279</c:v>
                </c:pt>
                <c:pt idx="7">
                  <c:v>1075.8980477626919</c:v>
                </c:pt>
                <c:pt idx="8">
                  <c:v>1267.1103270801868</c:v>
                </c:pt>
                <c:pt idx="9">
                  <c:v>1473.1571644172238</c:v>
                </c:pt>
                <c:pt idx="10">
                  <c:v>1708.659441756553</c:v>
                </c:pt>
                <c:pt idx="11">
                  <c:v>1968.8333152075302</c:v>
                </c:pt>
                <c:pt idx="12">
                  <c:v>2184.0774674929021</c:v>
                </c:pt>
                <c:pt idx="13">
                  <c:v>2351.727288743386</c:v>
                </c:pt>
                <c:pt idx="14">
                  <c:v>2501.2568405687166</c:v>
                </c:pt>
                <c:pt idx="15">
                  <c:v>2638.3367420326204</c:v>
                </c:pt>
                <c:pt idx="16">
                  <c:v>2748.9441938007017</c:v>
                </c:pt>
                <c:pt idx="17">
                  <c:v>2839.8934401575511</c:v>
                </c:pt>
                <c:pt idx="18">
                  <c:v>2916.7002436888915</c:v>
                </c:pt>
                <c:pt idx="19">
                  <c:v>2990.3990976523037</c:v>
                </c:pt>
                <c:pt idx="20">
                  <c:v>3063.2287505309673</c:v>
                </c:pt>
                <c:pt idx="21">
                  <c:v>3136.2853723678741</c:v>
                </c:pt>
                <c:pt idx="22">
                  <c:v>3206.2238055813837</c:v>
                </c:pt>
                <c:pt idx="23">
                  <c:v>3271.9349446620618</c:v>
                </c:pt>
                <c:pt idx="24">
                  <c:v>3342.5605520313184</c:v>
                </c:pt>
                <c:pt idx="25">
                  <c:v>3410.5612441678832</c:v>
                </c:pt>
                <c:pt idx="26">
                  <c:v>3473.2733628650267</c:v>
                </c:pt>
                <c:pt idx="27">
                  <c:v>3535.67482669332</c:v>
                </c:pt>
                <c:pt idx="28">
                  <c:v>3590.8044179903122</c:v>
                </c:pt>
                <c:pt idx="29">
                  <c:v>3625.1228304694223</c:v>
                </c:pt>
                <c:pt idx="30">
                  <c:v>3653.4194230106655</c:v>
                </c:pt>
                <c:pt idx="31">
                  <c:v>3681.2219017654179</c:v>
                </c:pt>
                <c:pt idx="32">
                  <c:v>3710.7312077388606</c:v>
                </c:pt>
                <c:pt idx="33">
                  <c:v>3741.3888215350921</c:v>
                </c:pt>
                <c:pt idx="34">
                  <c:v>3772.0231036276809</c:v>
                </c:pt>
                <c:pt idx="35">
                  <c:v>3797.0599394418718</c:v>
                </c:pt>
                <c:pt idx="36">
                  <c:v>3825.1589551719603</c:v>
                </c:pt>
                <c:pt idx="37">
                  <c:v>3850.5011144009345</c:v>
                </c:pt>
                <c:pt idx="38">
                  <c:v>3863.936335022508</c:v>
                </c:pt>
                <c:pt idx="39">
                  <c:v>3881.3461560377427</c:v>
                </c:pt>
                <c:pt idx="40">
                  <c:v>3891.5234720595963</c:v>
                </c:pt>
                <c:pt idx="41">
                  <c:v>3900.1580352692577</c:v>
                </c:pt>
                <c:pt idx="42">
                  <c:v>3905.6467474198016</c:v>
                </c:pt>
                <c:pt idx="43">
                  <c:v>3911.3291404825723</c:v>
                </c:pt>
                <c:pt idx="44">
                  <c:v>3914.1549086575224</c:v>
                </c:pt>
                <c:pt idx="45">
                  <c:v>3917.2992207134548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90-418C-A233-CFD07CE6C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035256"/>
        <c:axId val="592031648"/>
      </c:lineChart>
      <c:catAx>
        <c:axId val="592035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92031648"/>
        <c:crosses val="autoZero"/>
        <c:auto val="1"/>
        <c:lblAlgn val="ctr"/>
        <c:lblOffset val="100"/>
        <c:noMultiLvlLbl val="0"/>
      </c:catAx>
      <c:valAx>
        <c:axId val="59203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92035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 Brecha Ambiente STOCK (1970), 1970=100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'[1]Brecha ambiental'!$A$52</c:f>
              <c:strCache>
                <c:ptCount val="1"/>
                <c:pt idx="0">
                  <c:v>Índice Brecha Ambiente STOCK (1970), 1970=100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'[1]Brecha ambiental'!$B$2:$AU$2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'[1]Brecha ambiental'!$B$52:$AU$52</c:f>
              <c:numCache>
                <c:formatCode>General</c:formatCode>
                <c:ptCount val="46"/>
                <c:pt idx="0">
                  <c:v>100</c:v>
                </c:pt>
                <c:pt idx="1">
                  <c:v>187.47014690816206</c:v>
                </c:pt>
                <c:pt idx="2">
                  <c:v>279.45419811471311</c:v>
                </c:pt>
                <c:pt idx="3">
                  <c:v>381.6001994484202</c:v>
                </c:pt>
                <c:pt idx="4">
                  <c:v>539.06313093427445</c:v>
                </c:pt>
                <c:pt idx="5">
                  <c:v>706.77514065220839</c:v>
                </c:pt>
                <c:pt idx="6">
                  <c:v>886.06411070473405</c:v>
                </c:pt>
                <c:pt idx="7">
                  <c:v>1083.7322687507801</c:v>
                </c:pt>
                <c:pt idx="8">
                  <c:v>1278.0354006540813</c:v>
                </c:pt>
                <c:pt idx="9">
                  <c:v>1488.0492132750283</c:v>
                </c:pt>
                <c:pt idx="10">
                  <c:v>1728.8907136324642</c:v>
                </c:pt>
                <c:pt idx="11">
                  <c:v>1995.9485202205983</c:v>
                </c:pt>
                <c:pt idx="12">
                  <c:v>2217.7915347349863</c:v>
                </c:pt>
                <c:pt idx="13">
                  <c:v>2391.3620560744084</c:v>
                </c:pt>
                <c:pt idx="14">
                  <c:v>2546.9458935884363</c:v>
                </c:pt>
                <c:pt idx="15">
                  <c:v>2690.3642662758457</c:v>
                </c:pt>
                <c:pt idx="16">
                  <c:v>2806.7939279831753</c:v>
                </c:pt>
                <c:pt idx="17">
                  <c:v>2903.1790924949082</c:v>
                </c:pt>
                <c:pt idx="18">
                  <c:v>2985.187585126615</c:v>
                </c:pt>
                <c:pt idx="19">
                  <c:v>3064.5328492037161</c:v>
                </c:pt>
                <c:pt idx="20">
                  <c:v>3143.6671124493773</c:v>
                </c:pt>
                <c:pt idx="21">
                  <c:v>3223.8634345611331</c:v>
                </c:pt>
                <c:pt idx="22">
                  <c:v>3301.5142698130853</c:v>
                </c:pt>
                <c:pt idx="23">
                  <c:v>3375.4005338886509</c:v>
                </c:pt>
                <c:pt idx="24">
                  <c:v>3455.9406447382421</c:v>
                </c:pt>
                <c:pt idx="25">
                  <c:v>3534.7182030337267</c:v>
                </c:pt>
                <c:pt idx="26">
                  <c:v>3608.6600424848434</c:v>
                </c:pt>
                <c:pt idx="27">
                  <c:v>3683.7024426939392</c:v>
                </c:pt>
                <c:pt idx="28">
                  <c:v>3751.4863925566146</c:v>
                </c:pt>
                <c:pt idx="29">
                  <c:v>3794.7492394371216</c:v>
                </c:pt>
                <c:pt idx="30">
                  <c:v>3831.44144803887</c:v>
                </c:pt>
                <c:pt idx="31">
                  <c:v>3868.6644886718377</c:v>
                </c:pt>
                <c:pt idx="32">
                  <c:v>3909.6373199898126</c:v>
                </c:pt>
                <c:pt idx="33">
                  <c:v>3954.0141663139921</c:v>
                </c:pt>
                <c:pt idx="34">
                  <c:v>4000.532596021304</c:v>
                </c:pt>
                <c:pt idx="35">
                  <c:v>4040.7198862412984</c:v>
                </c:pt>
                <c:pt idx="36">
                  <c:v>4088.8417906817408</c:v>
                </c:pt>
                <c:pt idx="37">
                  <c:v>4135.6924571131995</c:v>
                </c:pt>
                <c:pt idx="38">
                  <c:v>4162.9105344346481</c:v>
                </c:pt>
                <c:pt idx="39">
                  <c:v>4202.3363534024929</c:v>
                </c:pt>
                <c:pt idx="40">
                  <c:v>4228.8155300909502</c:v>
                </c:pt>
                <c:pt idx="41">
                  <c:v>4255.6813512130648</c:v>
                </c:pt>
                <c:pt idx="42">
                  <c:v>4277.4494796117506</c:v>
                </c:pt>
                <c:pt idx="43">
                  <c:v>4309.7417009457586</c:v>
                </c:pt>
                <c:pt idx="44">
                  <c:v>4340.3987104303451</c:v>
                </c:pt>
                <c:pt idx="45">
                  <c:v>4371.4104561521108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4-4E5A-A8AD-6F8D604B2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2091016"/>
        <c:axId val="592089048"/>
      </c:lineChart>
      <c:catAx>
        <c:axId val="592091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92089048"/>
        <c:crosses val="autoZero"/>
        <c:auto val="1"/>
        <c:lblAlgn val="ctr"/>
        <c:lblOffset val="100"/>
        <c:noMultiLvlLbl val="0"/>
      </c:catAx>
      <c:valAx>
        <c:axId val="59208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92091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68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68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6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</xdr:colOff>
      <xdr:row>10</xdr:row>
      <xdr:rowOff>28575</xdr:rowOff>
    </xdr:from>
    <xdr:to>
      <xdr:col>9</xdr:col>
      <xdr:colOff>157162</xdr:colOff>
      <xdr:row>24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16F084-FB13-4CA3-9633-C5263264E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352425</xdr:colOff>
      <xdr:row>12</xdr:row>
      <xdr:rowOff>95250</xdr:rowOff>
    </xdr:from>
    <xdr:to>
      <xdr:col>8</xdr:col>
      <xdr:colOff>752475</xdr:colOff>
      <xdr:row>24</xdr:row>
      <xdr:rowOff>76200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9B2F5C4-F721-4A13-8357-081DEBC0507C}"/>
            </a:ext>
          </a:extLst>
        </xdr:cNvPr>
        <xdr:cNvSpPr>
          <a:spLocks/>
        </xdr:cNvSpPr>
      </xdr:nvSpPr>
      <xdr:spPr>
        <a:xfrm>
          <a:off x="5686425" y="2305050"/>
          <a:ext cx="1162050" cy="2190750"/>
        </a:xfrm>
        <a:prstGeom prst="rect">
          <a:avLst/>
        </a:prstGeom>
        <a:noFill/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233133</xdr:colOff>
      <xdr:row>73</xdr:row>
      <xdr:rowOff>36342</xdr:rowOff>
    </xdr:from>
    <xdr:to>
      <xdr:col>6</xdr:col>
      <xdr:colOff>912975</xdr:colOff>
      <xdr:row>94</xdr:row>
      <xdr:rowOff>103151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A74EDF-ED20-42DA-8583-F9FB1824F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16631</xdr:colOff>
      <xdr:row>73</xdr:row>
      <xdr:rowOff>16952</xdr:rowOff>
    </xdr:from>
    <xdr:to>
      <xdr:col>11</xdr:col>
      <xdr:colOff>695523</xdr:colOff>
      <xdr:row>94</xdr:row>
      <xdr:rowOff>83762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4BE16-8929-41A9-BA96-F6A2B93D6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25104</xdr:colOff>
      <xdr:row>97</xdr:row>
      <xdr:rowOff>116220</xdr:rowOff>
    </xdr:from>
    <xdr:to>
      <xdr:col>16</xdr:col>
      <xdr:colOff>713268</xdr:colOff>
      <xdr:row>119</xdr:row>
      <xdr:rowOff>16686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CBA84DE-B400-4762-8BC5-620FD66CF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47994</xdr:colOff>
      <xdr:row>73</xdr:row>
      <xdr:rowOff>114448</xdr:rowOff>
    </xdr:from>
    <xdr:to>
      <xdr:col>16</xdr:col>
      <xdr:colOff>739302</xdr:colOff>
      <xdr:row>95</xdr:row>
      <xdr:rowOff>50274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A088550-90A0-4BAB-9E6E-E5CA19CDC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246616</xdr:colOff>
      <xdr:row>96</xdr:row>
      <xdr:rowOff>75608</xdr:rowOff>
    </xdr:from>
    <xdr:to>
      <xdr:col>6</xdr:col>
      <xdr:colOff>934779</xdr:colOff>
      <xdr:row>117</xdr:row>
      <xdr:rowOff>105291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DFFB64D-D9E6-4F2A-A867-A247ACB7D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220771</xdr:colOff>
      <xdr:row>73</xdr:row>
      <xdr:rowOff>105145</xdr:rowOff>
    </xdr:from>
    <xdr:to>
      <xdr:col>21</xdr:col>
      <xdr:colOff>908934</xdr:colOff>
      <xdr:row>95</xdr:row>
      <xdr:rowOff>5613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4B6D28A-1D31-455B-9C8F-3965F4879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48</xdr:col>
      <xdr:colOff>1409700</xdr:colOff>
      <xdr:row>2</xdr:row>
      <xdr:rowOff>177800</xdr:rowOff>
    </xdr:from>
    <xdr:to>
      <xdr:col>52</xdr:col>
      <xdr:colOff>1177926</xdr:colOff>
      <xdr:row>24</xdr:row>
      <xdr:rowOff>168276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E5202BC3-EEA2-401D-B075-71FA87C05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0</xdr:row>
      <xdr:rowOff>88900</xdr:rowOff>
    </xdr:from>
    <xdr:to>
      <xdr:col>10</xdr:col>
      <xdr:colOff>217170</xdr:colOff>
      <xdr:row>14</xdr:row>
      <xdr:rowOff>128905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CB7D6F-A765-49D1-BD6C-97B3B6B33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7E201D-9724-41A9-92E3-B5AF487ACE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4514AD-E35F-43DA-80E6-C2484AB256B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0.16093</cdr:x>
      <cdr:y>0.77217</cdr:y>
    </cdr:from>
    <cdr:to>
      <cdr:x>0.95828</cdr:x>
      <cdr:y>0.77217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34B7321A-2D2F-42D4-B3F4-2931986568A3}"/>
            </a:ext>
          </a:extLst>
        </cdr:cNvPr>
        <cdr:cNvCxnSpPr/>
      </cdr:nvCxnSpPr>
      <cdr:spPr>
        <a:xfrm xmlns:a="http://schemas.openxmlformats.org/drawingml/2006/main" flipH="1">
          <a:off x="1395074" y="4858713"/>
          <a:ext cx="691200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2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0.18122</cdr:x>
      <cdr:y>0.11358</cdr:y>
    </cdr:from>
    <cdr:to>
      <cdr:x>0.97857</cdr:x>
      <cdr:y>0.11358</cdr:y>
    </cdr:to>
    <cdr:cxnSp macro="">
      <cdr:nvCxnSpPr>
        <cdr:cNvPr id="4" name="Conector recto 3">
          <a:extLst xmlns:a="http://schemas.openxmlformats.org/drawingml/2006/main">
            <a:ext uri="{FF2B5EF4-FFF2-40B4-BE49-F238E27FC236}">
              <a16:creationId xmlns:a16="http://schemas.microsoft.com/office/drawing/2014/main" id="{D850FAFF-ABF8-4DA4-AAFD-00A0AF0A6476}"/>
            </a:ext>
          </a:extLst>
        </cdr:cNvPr>
        <cdr:cNvCxnSpPr/>
      </cdr:nvCxnSpPr>
      <cdr:spPr>
        <a:xfrm xmlns:a="http://schemas.openxmlformats.org/drawingml/2006/main" flipH="1">
          <a:off x="1570950" y="714664"/>
          <a:ext cx="691200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2">
          <a:schemeClr val="accent4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FFEEA4-6E2D-4B49-91E3-1B32EA4FE5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0.76001</cdr:x>
      <cdr:y>0.22276</cdr:y>
    </cdr:from>
    <cdr:to>
      <cdr:x>0.81977</cdr:x>
      <cdr:y>0.42733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8CBCD9B2-1297-4F24-99E6-5C4BD4379A90}"/>
            </a:ext>
          </a:extLst>
        </cdr:cNvPr>
        <cdr:cNvCxnSpPr/>
      </cdr:nvCxnSpPr>
      <cdr:spPr>
        <a:xfrm xmlns:a="http://schemas.openxmlformats.org/drawingml/2006/main">
          <a:off x="3474780" y="611078"/>
          <a:ext cx="273197" cy="56116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0.65827</cdr:x>
      <cdr:y>0.17835</cdr:y>
    </cdr:from>
    <cdr:to>
      <cdr:x>0.77616</cdr:x>
      <cdr:y>0.27121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504DE05F-B80E-4D4D-9F15-244ECD0B19BC}"/>
            </a:ext>
          </a:extLst>
        </cdr:cNvPr>
        <cdr:cNvSpPr txBox="1"/>
      </cdr:nvSpPr>
      <cdr:spPr>
        <a:xfrm xmlns:a="http://schemas.openxmlformats.org/drawingml/2006/main">
          <a:off x="3009605" y="489246"/>
          <a:ext cx="539012" cy="254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Costo </a:t>
          </a:r>
        </a:p>
      </cdr:txBody>
    </cdr:sp>
  </cdr:relSizeAnchor>
  <cdr:relSizeAnchor xmlns:cdr="http://schemas.openxmlformats.org/drawingml/2006/chartDrawing">
    <cdr:from>
      <cdr:x>0.72009</cdr:x>
      <cdr:y>0.57838</cdr:y>
    </cdr:from>
    <cdr:to>
      <cdr:x>0.77984</cdr:x>
      <cdr:y>0.78295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EA18CC4B-F7FC-46F8-B346-972B77D73FB1}"/>
            </a:ext>
          </a:extLst>
        </cdr:cNvPr>
        <cdr:cNvCxnSpPr/>
      </cdr:nvCxnSpPr>
      <cdr:spPr>
        <a:xfrm xmlns:a="http://schemas.openxmlformats.org/drawingml/2006/main">
          <a:off x="3292253" y="1586614"/>
          <a:ext cx="273197" cy="56116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0.43056</cdr:x>
      <cdr:y>0.50135</cdr:y>
    </cdr:from>
    <cdr:to>
      <cdr:x>0.75032</cdr:x>
      <cdr:y>0.61305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F186DAF3-65F9-4FBF-8927-2FD3762C2339}"/>
            </a:ext>
          </a:extLst>
        </cdr:cNvPr>
        <cdr:cNvSpPr txBox="1"/>
      </cdr:nvSpPr>
      <cdr:spPr>
        <a:xfrm xmlns:a="http://schemas.openxmlformats.org/drawingml/2006/main">
          <a:off x="1968499" y="1375292"/>
          <a:ext cx="1461977" cy="306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Presupuesto Ambiente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10221" cy="607919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8F1A69A-DC8A-4F56-B440-E84F8AB945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10221" cy="607919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F81CCD-6146-4E05-9691-F5B61B71E4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rginia/Documents/Research%20Paper%202014/Patrimonio/PROYECTO%20de%20libro/MI%20ART&#205;CULO/Estad&#237;sticas/Balance/Balance%201%20v.8%20VALORE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rginia/Documents/Research%20Paper%202014/Patrimonio/PROYECTO%20de%20libro/Patrimonio%20natural/Brecha%20inversion%20medio%20ambiente%20VF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ena/Downloads/graf_follet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"/>
      <sheetName val="Past"/>
      <sheetName val="Balance"/>
      <sheetName val="Graph Var Riqueza en % PIB"/>
      <sheetName val="Graph Riqueza Neta"/>
      <sheetName val="Deuda Externa e Interna"/>
      <sheetName val="IESS"/>
      <sheetName val="Crudo"/>
      <sheetName val="Minería"/>
      <sheetName val="Brecha Caminos y Elect"/>
      <sheetName val="STOCK de Capital"/>
      <sheetName val="Brecha ambiental"/>
      <sheetName val="Graph Deuda"/>
      <sheetName val="Graph Deuda %PIB"/>
      <sheetName val="Gasto So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>
            <v>1970</v>
          </cell>
          <cell r="C2">
            <v>1971</v>
          </cell>
          <cell r="D2">
            <v>1972</v>
          </cell>
          <cell r="E2">
            <v>1973</v>
          </cell>
          <cell r="F2">
            <v>1974</v>
          </cell>
          <cell r="G2">
            <v>1975</v>
          </cell>
          <cell r="H2">
            <v>1976</v>
          </cell>
          <cell r="I2">
            <v>1977</v>
          </cell>
          <cell r="J2">
            <v>1978</v>
          </cell>
          <cell r="K2">
            <v>1979</v>
          </cell>
          <cell r="L2">
            <v>1980</v>
          </cell>
          <cell r="M2">
            <v>1981</v>
          </cell>
          <cell r="N2">
            <v>1982</v>
          </cell>
          <cell r="O2">
            <v>1983</v>
          </cell>
          <cell r="P2">
            <v>1984</v>
          </cell>
          <cell r="Q2">
            <v>1985</v>
          </cell>
          <cell r="R2">
            <v>1986</v>
          </cell>
          <cell r="S2">
            <v>1987</v>
          </cell>
          <cell r="T2">
            <v>1988</v>
          </cell>
          <cell r="U2">
            <v>1989</v>
          </cell>
          <cell r="V2">
            <v>1990</v>
          </cell>
          <cell r="W2">
            <v>1991</v>
          </cell>
          <cell r="X2">
            <v>1992</v>
          </cell>
          <cell r="Y2">
            <v>1993</v>
          </cell>
          <cell r="Z2">
            <v>1994</v>
          </cell>
          <cell r="AA2">
            <v>1995</v>
          </cell>
          <cell r="AB2">
            <v>1996</v>
          </cell>
          <cell r="AC2">
            <v>1997</v>
          </cell>
          <cell r="AD2">
            <v>1998</v>
          </cell>
          <cell r="AE2">
            <v>1999</v>
          </cell>
          <cell r="AF2">
            <v>2000</v>
          </cell>
          <cell r="AG2">
            <v>2001</v>
          </cell>
          <cell r="AH2">
            <v>2002</v>
          </cell>
          <cell r="AI2">
            <v>2003</v>
          </cell>
          <cell r="AJ2">
            <v>2004</v>
          </cell>
          <cell r="AK2">
            <v>2005</v>
          </cell>
          <cell r="AL2">
            <v>2006</v>
          </cell>
          <cell r="AM2">
            <v>2007</v>
          </cell>
          <cell r="AN2">
            <v>2008</v>
          </cell>
          <cell r="AO2">
            <v>2009</v>
          </cell>
          <cell r="AP2">
            <v>2010</v>
          </cell>
          <cell r="AQ2">
            <v>2011</v>
          </cell>
          <cell r="AR2">
            <v>2012</v>
          </cell>
          <cell r="AS2">
            <v>2013</v>
          </cell>
          <cell r="AT2">
            <v>2014</v>
          </cell>
          <cell r="AU2">
            <v>2015</v>
          </cell>
        </row>
        <row r="11">
          <cell r="A11" t="str">
            <v>Total Recursos Ambiente (1)</v>
          </cell>
          <cell r="B11">
            <v>762307.42922441685</v>
          </cell>
          <cell r="C11">
            <v>733470.57105785294</v>
          </cell>
          <cell r="D11">
            <v>848453.51981942332</v>
          </cell>
          <cell r="E11">
            <v>1036405.1871307464</v>
          </cell>
          <cell r="F11">
            <v>1757434.8141495949</v>
          </cell>
          <cell r="G11">
            <v>2059006.6121139624</v>
          </cell>
          <cell r="H11">
            <v>2421251.1255570231</v>
          </cell>
          <cell r="I11">
            <v>2936403.0314698797</v>
          </cell>
          <cell r="J11">
            <v>3175056.3282592166</v>
          </cell>
          <cell r="K11">
            <v>3774958.4686438018</v>
          </cell>
          <cell r="L11">
            <v>4761988.3427274711</v>
          </cell>
          <cell r="M11">
            <v>5808379.2698170524</v>
          </cell>
          <cell r="N11">
            <v>5307477.1392508801</v>
          </cell>
          <cell r="O11">
            <v>4567841.5147789158</v>
          </cell>
          <cell r="P11">
            <v>4503936.1361309662</v>
          </cell>
          <cell r="Q11">
            <v>4566939.0973920971</v>
          </cell>
          <cell r="R11">
            <v>4078277.2848559907</v>
          </cell>
          <cell r="S11">
            <v>3713778.4597773021</v>
          </cell>
          <cell r="T11">
            <v>3475820.2934757746</v>
          </cell>
          <cell r="U11">
            <v>3699237.2038811115</v>
          </cell>
          <cell r="V11">
            <v>4058339.9086954845</v>
          </cell>
          <cell r="W11">
            <v>4524087.4600805547</v>
          </cell>
          <cell r="X11">
            <v>4818538.7665590271</v>
          </cell>
          <cell r="Y11">
            <v>5043425.6021852307</v>
          </cell>
          <cell r="Z11">
            <v>6047373.870613629</v>
          </cell>
          <cell r="AA11">
            <v>6506535.4003320998</v>
          </cell>
          <cell r="AB11">
            <v>6717848.6741716275</v>
          </cell>
          <cell r="AC11">
            <v>7499621.8885395247</v>
          </cell>
          <cell r="AD11">
            <v>7451645.8952785628</v>
          </cell>
          <cell r="AE11">
            <v>5231582.9577819463</v>
          </cell>
          <cell r="AF11">
            <v>4880727.5006178785</v>
          </cell>
          <cell r="AG11">
            <v>16113504.248237027</v>
          </cell>
          <cell r="AH11">
            <v>16655526.394623311</v>
          </cell>
          <cell r="AI11">
            <v>15657262.99</v>
          </cell>
          <cell r="AJ11">
            <v>15918336.140000001</v>
          </cell>
          <cell r="AK11">
            <v>32968504.280000001</v>
          </cell>
          <cell r="AL11">
            <v>22574313.609999999</v>
          </cell>
          <cell r="AM11">
            <v>26521826.199999999</v>
          </cell>
          <cell r="AN11">
            <v>94218945.36999999</v>
          </cell>
          <cell r="AO11">
            <v>55039292.739999995</v>
          </cell>
          <cell r="AP11">
            <v>102568315.25</v>
          </cell>
          <cell r="AQ11">
            <v>118840150.61</v>
          </cell>
          <cell r="AR11">
            <v>151665161.5</v>
          </cell>
          <cell r="AS11">
            <v>118467381.23</v>
          </cell>
          <cell r="AT11">
            <v>128862314.86</v>
          </cell>
          <cell r="AU11">
            <v>113128736.47</v>
          </cell>
        </row>
        <row r="22">
          <cell r="A22" t="str">
            <v>Costo (2)</v>
          </cell>
          <cell r="B22">
            <v>7580027.0562787941</v>
          </cell>
          <cell r="C22">
            <v>7293286.8819858329</v>
          </cell>
          <cell r="D22">
            <v>8436623.3223904278</v>
          </cell>
          <cell r="E22">
            <v>10305526.430080231</v>
          </cell>
          <cell r="F22">
            <v>17475106.407468207</v>
          </cell>
          <cell r="G22">
            <v>20473794.732342962</v>
          </cell>
          <cell r="H22">
            <v>24075784.044818364</v>
          </cell>
          <cell r="I22">
            <v>29198212.654606294</v>
          </cell>
          <cell r="J22">
            <v>31571268.953655895</v>
          </cell>
          <cell r="K22">
            <v>37536414.091833517</v>
          </cell>
          <cell r="L22">
            <v>47350975.59823478</v>
          </cell>
          <cell r="M22">
            <v>57755795.536633492</v>
          </cell>
          <cell r="N22">
            <v>52775060.000444032</v>
          </cell>
          <cell r="O22">
            <v>45420470.722743772</v>
          </cell>
          <cell r="P22">
            <v>44785025.650817819</v>
          </cell>
          <cell r="Q22">
            <v>45411497.508072227</v>
          </cell>
          <cell r="R22">
            <v>40552473.945672341</v>
          </cell>
          <cell r="S22">
            <v>36928068.817036361</v>
          </cell>
          <cell r="T22">
            <v>34561924.569087453</v>
          </cell>
          <cell r="U22">
            <v>36783477.397748284</v>
          </cell>
          <cell r="V22">
            <v>40354226.040779687</v>
          </cell>
          <cell r="W22">
            <v>44985400.952043884</v>
          </cell>
          <cell r="X22">
            <v>47913286.45374269</v>
          </cell>
          <cell r="Y22">
            <v>50149455.528445117</v>
          </cell>
          <cell r="Z22">
            <v>60132245.602436632</v>
          </cell>
          <cell r="AA22">
            <v>64697932.207392648</v>
          </cell>
          <cell r="AB22">
            <v>66799132.158551626</v>
          </cell>
          <cell r="AC22">
            <v>74572717.840133876</v>
          </cell>
          <cell r="AD22">
            <v>74095667.095213354</v>
          </cell>
          <cell r="AE22">
            <v>52020403.903842755</v>
          </cell>
          <cell r="AF22">
            <v>48531662.018101841</v>
          </cell>
          <cell r="AG22">
            <v>64824187.748693787</v>
          </cell>
          <cell r="AH22">
            <v>75635019.820202351</v>
          </cell>
          <cell r="AI22">
            <v>85924711.321409896</v>
          </cell>
          <cell r="AJ22">
            <v>96942671.786615059</v>
          </cell>
          <cell r="AK22">
            <v>109965156.21343708</v>
          </cell>
          <cell r="AL22">
            <v>123993146.70177767</v>
          </cell>
          <cell r="AM22">
            <v>135135439.30885926</v>
          </cell>
          <cell r="AN22">
            <v>163628397.55980206</v>
          </cell>
          <cell r="AO22">
            <v>165634060.72493491</v>
          </cell>
          <cell r="AP22">
            <v>184273764.28958929</v>
          </cell>
          <cell r="AQ22">
            <v>210028498.52838773</v>
          </cell>
          <cell r="AR22">
            <v>232939417.83565921</v>
          </cell>
          <cell r="AS22">
            <v>251091502.55579907</v>
          </cell>
          <cell r="AT22">
            <v>267361453.51160026</v>
          </cell>
          <cell r="AU22">
            <v>267240639.654071</v>
          </cell>
        </row>
        <row r="26">
          <cell r="A26" t="str">
            <v>STOCK Brecha Ambiente (de cada año) en % del PIB</v>
          </cell>
          <cell r="B26">
            <v>0.23828748995343021</v>
          </cell>
          <cell r="C26">
            <v>0.48594340288359034</v>
          </cell>
          <cell r="D26">
            <v>0.6583755406113867</v>
          </cell>
          <cell r="E26">
            <v>0.77726688887096684</v>
          </cell>
          <cell r="F26">
            <v>0.69666206460338753</v>
          </cell>
          <cell r="G26">
            <v>0.83291315012763967</v>
          </cell>
          <cell r="H26">
            <v>0.94658811409250621</v>
          </cell>
          <cell r="I26">
            <v>1.0188096158749891</v>
          </cell>
          <cell r="J26">
            <v>1.1805182207657559</v>
          </cell>
          <cell r="K26">
            <v>1.2312022143409049</v>
          </cell>
          <cell r="L26">
            <v>1.2142951764773262</v>
          </cell>
          <cell r="M26">
            <v>1.233825006772189</v>
          </cell>
          <cell r="N26">
            <v>1.5885568182785976</v>
          </cell>
          <cell r="O26">
            <v>2.0840671585641188</v>
          </cell>
          <cell r="P26">
            <v>2.3519250280412258</v>
          </cell>
          <cell r="Q26">
            <v>2.5577666635020089</v>
          </cell>
          <cell r="R26">
            <v>3.1025274034408081</v>
          </cell>
          <cell r="S26">
            <v>3.6453208313699843</v>
          </cell>
          <cell r="T26">
            <v>4.133170665568243</v>
          </cell>
          <cell r="U26">
            <v>4.1218336601499237</v>
          </cell>
          <cell r="V26">
            <v>3.9954001929003016</v>
          </cell>
          <cell r="W26">
            <v>3.8223676380786427</v>
          </cell>
          <cell r="X26">
            <v>3.8270778550454279</v>
          </cell>
          <cell r="Y26">
            <v>3.8947155731169492</v>
          </cell>
          <cell r="Z26">
            <v>3.4864260464495902</v>
          </cell>
          <cell r="AA26">
            <v>3.4786789545184114</v>
          </cell>
          <cell r="AB26">
            <v>3.6075428664531546</v>
          </cell>
          <cell r="AC26">
            <v>3.4697740132212247</v>
          </cell>
          <cell r="AD26">
            <v>3.7304009778376739</v>
          </cell>
          <cell r="AE26">
            <v>5.5517131507084487</v>
          </cell>
          <cell r="AF26">
            <v>6.1890905007880574</v>
          </cell>
          <cell r="AG26">
            <v>4.832637813152723</v>
          </cell>
          <cell r="AH26">
            <v>4.3484793266241608</v>
          </cell>
          <cell r="AI26">
            <v>4.0443935579951411</v>
          </cell>
          <cell r="AJ26">
            <v>3.8061588821352679</v>
          </cell>
          <cell r="AK26">
            <v>3.5409217660208228</v>
          </cell>
          <cell r="AL26">
            <v>3.3570162882149797</v>
          </cell>
          <cell r="AM26">
            <v>3.2931563620316191</v>
          </cell>
          <cell r="AN26">
            <v>2.8320930698572089</v>
          </cell>
          <cell r="AO26">
            <v>2.9746951601470584</v>
          </cell>
          <cell r="AP26">
            <v>2.7912663053315887</v>
          </cell>
          <cell r="AQ26">
            <v>2.5640128733710523</v>
          </cell>
          <cell r="AR26">
            <v>2.4042639639675287</v>
          </cell>
          <cell r="AS26">
            <v>2.3703872483985933</v>
          </cell>
          <cell r="AT26">
            <v>2.363380396838092</v>
          </cell>
          <cell r="AU26">
            <v>2.5172288441416706</v>
          </cell>
        </row>
        <row r="31">
          <cell r="A31" t="str">
            <v>Índice STOCK Brecha Ambiente (de cada año), 1970=100</v>
          </cell>
          <cell r="B31">
            <v>100</v>
          </cell>
          <cell r="C31">
            <v>196.21716159897551</v>
          </cell>
          <cell r="D31">
            <v>307.51786355889908</v>
          </cell>
          <cell r="E31">
            <v>443.47419133405941</v>
          </cell>
          <cell r="F31">
            <v>674.01566932249193</v>
          </cell>
          <cell r="G31">
            <v>944.11753809331401</v>
          </cell>
          <cell r="H31">
            <v>1261.7388851685278</v>
          </cell>
          <cell r="I31">
            <v>1646.9382048783486</v>
          </cell>
          <cell r="J31">
            <v>2063.4442241742081</v>
          </cell>
          <cell r="K31">
            <v>2558.6458087218625</v>
          </cell>
          <cell r="L31">
            <v>3183.3266343531159</v>
          </cell>
          <cell r="M31">
            <v>3945.2737238267923</v>
          </cell>
          <cell r="N31">
            <v>4641.5121357560574</v>
          </cell>
          <cell r="O31">
            <v>5240.72465024333</v>
          </cell>
          <cell r="P31">
            <v>5831.5540142852551</v>
          </cell>
          <cell r="Q31">
            <v>6430.6481490542892</v>
          </cell>
          <cell r="R31">
            <v>6965.6392994101634</v>
          </cell>
          <cell r="S31">
            <v>7452.8152493488578</v>
          </cell>
          <cell r="T31">
            <v>7908.7756873852713</v>
          </cell>
          <cell r="U31">
            <v>8394.0441056197324</v>
          </cell>
          <cell r="V31">
            <v>8926.4198575948249</v>
          </cell>
          <cell r="W31">
            <v>9519.892685832041</v>
          </cell>
          <cell r="X31">
            <v>10151.991834001365</v>
          </cell>
          <cell r="Y31">
            <v>10813.59178814539</v>
          </cell>
          <cell r="Z31">
            <v>11606.890349693755</v>
          </cell>
          <cell r="AA31">
            <v>12460.422028763438</v>
          </cell>
          <cell r="AB31">
            <v>13341.6739248661</v>
          </cell>
          <cell r="AC31">
            <v>14325.479355723535</v>
          </cell>
          <cell r="AD31">
            <v>15302.991263597763</v>
          </cell>
          <cell r="AE31">
            <v>15989.273825884296</v>
          </cell>
          <cell r="AF31">
            <v>16629.530933910071</v>
          </cell>
          <cell r="AG31">
            <v>17344.002724553397</v>
          </cell>
          <cell r="AH31">
            <v>18209.093937626079</v>
          </cell>
          <cell r="AI31">
            <v>19239.753046172747</v>
          </cell>
          <cell r="AJ31">
            <v>20428.19053082804</v>
          </cell>
          <cell r="AK31">
            <v>21557.551316330209</v>
          </cell>
          <cell r="AL31">
            <v>23045.128374930904</v>
          </cell>
          <cell r="AM31">
            <v>24638.236027493407</v>
          </cell>
          <cell r="AN31">
            <v>25656.310339531239</v>
          </cell>
          <cell r="AO31">
            <v>27278.476900122376</v>
          </cell>
          <cell r="AP31">
            <v>28476.904725100132</v>
          </cell>
          <cell r="AQ31">
            <v>29814.424495736195</v>
          </cell>
          <cell r="AR31">
            <v>31006.52773232491</v>
          </cell>
          <cell r="AS31">
            <v>32951.813378855666</v>
          </cell>
          <cell r="AT31">
            <v>34983.271787646809</v>
          </cell>
          <cell r="AU31">
            <v>37243.732933225714</v>
          </cell>
        </row>
        <row r="39">
          <cell r="A39" t="str">
            <v>STOCK Brecha Ambiente (2015) en %PIB del 2015</v>
          </cell>
          <cell r="B39">
            <v>4.8589328968685797</v>
          </cell>
          <cell r="C39">
            <v>9.1031367089951445</v>
          </cell>
          <cell r="D39">
            <v>13.559524298025821</v>
          </cell>
          <cell r="E39">
            <v>18.499878241470991</v>
          </cell>
          <cell r="F39">
            <v>26.101504103128981</v>
          </cell>
          <cell r="G39">
            <v>34.181314873248589</v>
          </cell>
          <cell r="H39">
            <v>42.799349554049435</v>
          </cell>
          <cell r="I39">
            <v>52.277164179508262</v>
          </cell>
          <cell r="J39">
            <v>61.56804052211826</v>
          </cell>
          <cell r="K39">
            <v>71.579718084444835</v>
          </cell>
          <cell r="L39">
            <v>83.022615710960181</v>
          </cell>
          <cell r="M39">
            <v>95.664289637126956</v>
          </cell>
          <cell r="N39">
            <v>106.12285856110677</v>
          </cell>
          <cell r="O39">
            <v>114.26885087738789</v>
          </cell>
          <cell r="P39">
            <v>121.53439146156906</v>
          </cell>
          <cell r="Q39">
            <v>128.19501188879372</v>
          </cell>
          <cell r="R39">
            <v>133.56935374914104</v>
          </cell>
          <cell r="S39">
            <v>137.98851659982807</v>
          </cell>
          <cell r="T39">
            <v>141.72050764364556</v>
          </cell>
          <cell r="U39">
            <v>145.30148550348895</v>
          </cell>
          <cell r="V39">
            <v>148.84022946588553</v>
          </cell>
          <cell r="W39">
            <v>152.39000169765984</v>
          </cell>
          <cell r="X39">
            <v>155.78826323662557</v>
          </cell>
          <cell r="Y39">
            <v>158.98112339032369</v>
          </cell>
          <cell r="Z39">
            <v>162.41277426040173</v>
          </cell>
          <cell r="AA39">
            <v>165.71688226072359</v>
          </cell>
          <cell r="AB39">
            <v>168.76402202642237</v>
          </cell>
          <cell r="AC39">
            <v>171.79606728050288</v>
          </cell>
          <cell r="AD39">
            <v>174.47477712794165</v>
          </cell>
          <cell r="AE39">
            <v>176.14228576157217</v>
          </cell>
          <cell r="AF39">
            <v>177.5171982052515</v>
          </cell>
          <cell r="AG39">
            <v>178.86810199161104</v>
          </cell>
          <cell r="AH39">
            <v>180.30193936719229</v>
          </cell>
          <cell r="AI39">
            <v>181.79157224933229</v>
          </cell>
          <cell r="AJ39">
            <v>183.28007145964861</v>
          </cell>
          <cell r="AK39">
            <v>184.49659451135929</v>
          </cell>
          <cell r="AL39">
            <v>185.86190683036486</v>
          </cell>
          <cell r="AM39">
            <v>187.09326534191828</v>
          </cell>
          <cell r="AN39">
            <v>187.74607369646679</v>
          </cell>
          <cell r="AO39">
            <v>188.59200521706197</v>
          </cell>
          <cell r="AP39">
            <v>189.08651417326607</v>
          </cell>
          <cell r="AQ39">
            <v>189.50606180556127</v>
          </cell>
          <cell r="AR39">
            <v>189.77275464585844</v>
          </cell>
          <cell r="AS39">
            <v>190.04885831171478</v>
          </cell>
          <cell r="AT39">
            <v>190.18616049115667</v>
          </cell>
          <cell r="AU39">
            <v>190.33894050402262</v>
          </cell>
        </row>
        <row r="42">
          <cell r="A42" t="str">
            <v>Índice Brecha Ambiente STOCK  (2015), 1970=100</v>
          </cell>
          <cell r="B42">
            <v>100</v>
          </cell>
          <cell r="C42">
            <v>187.34847552354168</v>
          </cell>
          <cell r="D42">
            <v>279.06383121208535</v>
          </cell>
          <cell r="E42">
            <v>380.73952931915454</v>
          </cell>
          <cell r="F42">
            <v>537.18593479548838</v>
          </cell>
          <cell r="G42">
            <v>703.47369677151346</v>
          </cell>
          <cell r="H42">
            <v>880.8384569713279</v>
          </cell>
          <cell r="I42">
            <v>1075.8980477626919</v>
          </cell>
          <cell r="J42">
            <v>1267.1103270801868</v>
          </cell>
          <cell r="K42">
            <v>1473.1571644172238</v>
          </cell>
          <cell r="L42">
            <v>1708.659441756553</v>
          </cell>
          <cell r="M42">
            <v>1968.8333152075302</v>
          </cell>
          <cell r="N42">
            <v>2184.0774674929021</v>
          </cell>
          <cell r="O42">
            <v>2351.727288743386</v>
          </cell>
          <cell r="P42">
            <v>2501.2568405687166</v>
          </cell>
          <cell r="Q42">
            <v>2638.3367420326204</v>
          </cell>
          <cell r="R42">
            <v>2748.9441938007017</v>
          </cell>
          <cell r="S42">
            <v>2839.8934401575511</v>
          </cell>
          <cell r="T42">
            <v>2916.7002436888915</v>
          </cell>
          <cell r="U42">
            <v>2990.3990976523037</v>
          </cell>
          <cell r="V42">
            <v>3063.2287505309673</v>
          </cell>
          <cell r="W42">
            <v>3136.2853723678741</v>
          </cell>
          <cell r="X42">
            <v>3206.2238055813837</v>
          </cell>
          <cell r="Y42">
            <v>3271.9349446620618</v>
          </cell>
          <cell r="Z42">
            <v>3342.5605520313184</v>
          </cell>
          <cell r="AA42">
            <v>3410.5612441678832</v>
          </cell>
          <cell r="AB42">
            <v>3473.2733628650267</v>
          </cell>
          <cell r="AC42">
            <v>3535.67482669332</v>
          </cell>
          <cell r="AD42">
            <v>3590.8044179903122</v>
          </cell>
          <cell r="AE42">
            <v>3625.1228304694223</v>
          </cell>
          <cell r="AF42">
            <v>3653.4194230106655</v>
          </cell>
          <cell r="AG42">
            <v>3681.2219017654179</v>
          </cell>
          <cell r="AH42">
            <v>3710.7312077388606</v>
          </cell>
          <cell r="AI42">
            <v>3741.3888215350921</v>
          </cell>
          <cell r="AJ42">
            <v>3772.0231036276809</v>
          </cell>
          <cell r="AK42">
            <v>3797.0599394418718</v>
          </cell>
          <cell r="AL42">
            <v>3825.1589551719603</v>
          </cell>
          <cell r="AM42">
            <v>3850.5011144009345</v>
          </cell>
          <cell r="AN42">
            <v>3863.936335022508</v>
          </cell>
          <cell r="AO42">
            <v>3881.3461560377427</v>
          </cell>
          <cell r="AP42">
            <v>3891.5234720595963</v>
          </cell>
          <cell r="AQ42">
            <v>3900.1580352692577</v>
          </cell>
          <cell r="AR42">
            <v>3905.6467474198016</v>
          </cell>
          <cell r="AS42">
            <v>3911.3291404825723</v>
          </cell>
          <cell r="AT42">
            <v>3914.1549086575224</v>
          </cell>
          <cell r="AU42">
            <v>3917.2992207134548</v>
          </cell>
        </row>
        <row r="51">
          <cell r="A51" t="str">
            <v>STOCK Brecha Ambiente (1970) en %PIB del 1970</v>
          </cell>
          <cell r="B51">
            <v>0.23828748995342333</v>
          </cell>
          <cell r="C51">
            <v>0.44671790747945461</v>
          </cell>
          <cell r="D51">
            <v>0.66590439425701664</v>
          </cell>
          <cell r="E51">
            <v>0.90930553692289762</v>
          </cell>
          <cell r="F51">
            <v>1.2845200039676183</v>
          </cell>
          <cell r="G51">
            <v>1.6841567422749246</v>
          </cell>
          <cell r="H51">
            <v>2.1113799287764334</v>
          </cell>
          <cell r="I51">
            <v>2.5823984210215216</v>
          </cell>
          <cell r="J51">
            <v>3.0453984769347877</v>
          </cell>
          <cell r="K51">
            <v>3.5458351195847282</v>
          </cell>
          <cell r="L51">
            <v>4.1197302855526274</v>
          </cell>
          <cell r="M51">
            <v>4.7560956295961594</v>
          </cell>
          <cell r="N51">
            <v>5.2847197805195032</v>
          </cell>
          <cell r="O51">
            <v>5.6983166191182839</v>
          </cell>
          <cell r="P51">
            <v>6.0690534403036729</v>
          </cell>
          <cell r="Q51">
            <v>6.4108014807125464</v>
          </cell>
          <cell r="R51">
            <v>6.6882387991562045</v>
          </cell>
          <cell r="S51">
            <v>6.9179125883586909</v>
          </cell>
          <cell r="T51">
            <v>7.1133285669994235</v>
          </cell>
          <cell r="U51">
            <v>7.3023984051656621</v>
          </cell>
          <cell r="V51">
            <v>7.4909654547468838</v>
          </cell>
          <cell r="W51">
            <v>7.682063257741949</v>
          </cell>
          <cell r="X51">
            <v>7.8670954839916929</v>
          </cell>
          <cell r="Y51">
            <v>8.0431572080777176</v>
          </cell>
          <cell r="Z51">
            <v>8.2350742166269129</v>
          </cell>
          <cell r="AA51">
            <v>8.4227912829358189</v>
          </cell>
          <cell r="AB51">
            <v>8.5989854361892721</v>
          </cell>
          <cell r="AC51">
            <v>8.7778020880483307</v>
          </cell>
          <cell r="AD51">
            <v>8.9393227607673857</v>
          </cell>
          <cell r="AE51">
            <v>9.0424127126813403</v>
          </cell>
          <cell r="AF51">
            <v>9.1298456555669194</v>
          </cell>
          <cell r="AG51">
            <v>9.2185435047755622</v>
          </cell>
          <cell r="AH51">
            <v>9.3161766360860128</v>
          </cell>
          <cell r="AI51">
            <v>9.4219211093123878</v>
          </cell>
          <cell r="AJ51">
            <v>9.5327687078276906</v>
          </cell>
          <cell r="AK51">
            <v>9.6285299929732133</v>
          </cell>
          <cell r="AL51">
            <v>9.7431984711821276</v>
          </cell>
          <cell r="AM51">
            <v>9.8548377482481033</v>
          </cell>
          <cell r="AN51">
            <v>9.9196950215109645</v>
          </cell>
          <cell r="AO51">
            <v>10.013641815923021</v>
          </cell>
          <cell r="AP51">
            <v>10.07673838141428</v>
          </cell>
          <cell r="AQ51">
            <v>10.140756272221541</v>
          </cell>
          <cell r="AR51">
            <v>10.192626998992608</v>
          </cell>
          <cell r="AS51">
            <v>10.26957532265962</v>
          </cell>
          <cell r="AT51">
            <v>10.342627141055225</v>
          </cell>
          <cell r="AU51">
            <v>10.416524251526358</v>
          </cell>
        </row>
        <row r="52">
          <cell r="A52" t="str">
            <v>Índice Brecha Ambiente STOCK (1970), 1970=100</v>
          </cell>
          <cell r="B52">
            <v>100</v>
          </cell>
          <cell r="C52">
            <v>187.47014690816206</v>
          </cell>
          <cell r="D52">
            <v>279.45419811471311</v>
          </cell>
          <cell r="E52">
            <v>381.6001994484202</v>
          </cell>
          <cell r="F52">
            <v>539.06313093427445</v>
          </cell>
          <cell r="G52">
            <v>706.77514065220839</v>
          </cell>
          <cell r="H52">
            <v>886.06411070473405</v>
          </cell>
          <cell r="I52">
            <v>1083.7322687507801</v>
          </cell>
          <cell r="J52">
            <v>1278.0354006540813</v>
          </cell>
          <cell r="K52">
            <v>1488.0492132750283</v>
          </cell>
          <cell r="L52">
            <v>1728.8907136324642</v>
          </cell>
          <cell r="M52">
            <v>1995.9485202205983</v>
          </cell>
          <cell r="N52">
            <v>2217.7915347349863</v>
          </cell>
          <cell r="O52">
            <v>2391.3620560744084</v>
          </cell>
          <cell r="P52">
            <v>2546.9458935884363</v>
          </cell>
          <cell r="Q52">
            <v>2690.3642662758457</v>
          </cell>
          <cell r="R52">
            <v>2806.7939279831753</v>
          </cell>
          <cell r="S52">
            <v>2903.1790924949082</v>
          </cell>
          <cell r="T52">
            <v>2985.187585126615</v>
          </cell>
          <cell r="U52">
            <v>3064.5328492037161</v>
          </cell>
          <cell r="V52">
            <v>3143.6671124493773</v>
          </cell>
          <cell r="W52">
            <v>3223.8634345611331</v>
          </cell>
          <cell r="X52">
            <v>3301.5142698130853</v>
          </cell>
          <cell r="Y52">
            <v>3375.4005338886509</v>
          </cell>
          <cell r="Z52">
            <v>3455.9406447382421</v>
          </cell>
          <cell r="AA52">
            <v>3534.7182030337267</v>
          </cell>
          <cell r="AB52">
            <v>3608.6600424848434</v>
          </cell>
          <cell r="AC52">
            <v>3683.7024426939392</v>
          </cell>
          <cell r="AD52">
            <v>3751.4863925566146</v>
          </cell>
          <cell r="AE52">
            <v>3794.7492394371216</v>
          </cell>
          <cell r="AF52">
            <v>3831.44144803887</v>
          </cell>
          <cell r="AG52">
            <v>3868.6644886718377</v>
          </cell>
          <cell r="AH52">
            <v>3909.6373199898126</v>
          </cell>
          <cell r="AI52">
            <v>3954.0141663139921</v>
          </cell>
          <cell r="AJ52">
            <v>4000.532596021304</v>
          </cell>
          <cell r="AK52">
            <v>4040.7198862412984</v>
          </cell>
          <cell r="AL52">
            <v>4088.8417906817408</v>
          </cell>
          <cell r="AM52">
            <v>4135.6924571131995</v>
          </cell>
          <cell r="AN52">
            <v>4162.9105344346481</v>
          </cell>
          <cell r="AO52">
            <v>4202.3363534024929</v>
          </cell>
          <cell r="AP52">
            <v>4228.8155300909502</v>
          </cell>
          <cell r="AQ52">
            <v>4255.6813512130648</v>
          </cell>
          <cell r="AR52">
            <v>4277.4494796117506</v>
          </cell>
          <cell r="AS52">
            <v>4309.7417009457586</v>
          </cell>
          <cell r="AT52">
            <v>4340.3987104303451</v>
          </cell>
          <cell r="AU52">
            <v>4371.4104561521108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08"/>
      <sheetName val="0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>
        <row r="25">
          <cell r="D25">
            <v>15162077.560000001</v>
          </cell>
        </row>
        <row r="50">
          <cell r="C50">
            <v>20270357.300000001</v>
          </cell>
        </row>
      </sheetData>
      <sheetData sheetId="2"/>
      <sheetData sheetId="3"/>
      <sheetData sheetId="4"/>
      <sheetData sheetId="5">
        <row r="40">
          <cell r="D40">
            <v>16067367</v>
          </cell>
        </row>
      </sheetData>
      <sheetData sheetId="6">
        <row r="39">
          <cell r="D39">
            <v>16153978.310000001</v>
          </cell>
        </row>
      </sheetData>
      <sheetData sheetId="7">
        <row r="42">
          <cell r="D42">
            <v>26472422.030000001</v>
          </cell>
        </row>
      </sheetData>
      <sheetData sheetId="8">
        <row r="41">
          <cell r="D41">
            <v>19784867.059999999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pag_4"/>
      <sheetName val="graf_pag_8"/>
      <sheetName val="graf_pag_11a"/>
      <sheetName val="graf_pag_11b"/>
      <sheetName val="graf_pag_12a"/>
      <sheetName val="graf_pag_12b"/>
      <sheetName val="graf_pag_15a"/>
      <sheetName val="graf_pag_15b"/>
      <sheetName val="graf_pag_16"/>
      <sheetName val="graf_pag_17a"/>
      <sheetName val="graf_pag_17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>
            <v>9557898</v>
          </cell>
        </row>
        <row r="9">
          <cell r="B9">
            <v>24247957.300000001</v>
          </cell>
        </row>
        <row r="12">
          <cell r="B12">
            <v>34159835.912587829</v>
          </cell>
        </row>
        <row r="13">
          <cell r="B13">
            <v>37678426.557411954</v>
          </cell>
        </row>
        <row r="14">
          <cell r="B14">
            <v>35242798.816461943</v>
          </cell>
        </row>
        <row r="15">
          <cell r="B15">
            <v>62288299.376461945</v>
          </cell>
        </row>
        <row r="16">
          <cell r="B16">
            <v>49732335.306461953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10" workbookViewId="0">
      <selection activeCell="K16" sqref="K16"/>
    </sheetView>
  </sheetViews>
  <sheetFormatPr baseColWidth="10" defaultRowHeight="14.5" x14ac:dyDescent="0.35"/>
  <sheetData>
    <row r="1" spans="1:2" x14ac:dyDescent="0.35">
      <c r="A1" t="s">
        <v>67</v>
      </c>
      <c r="B1" t="s">
        <v>68</v>
      </c>
    </row>
    <row r="2" spans="1:2" x14ac:dyDescent="0.35">
      <c r="A2" s="77">
        <v>1936</v>
      </c>
      <c r="B2" s="78">
        <v>1</v>
      </c>
    </row>
    <row r="3" spans="1:2" x14ac:dyDescent="0.35">
      <c r="A3" s="77">
        <v>1966</v>
      </c>
      <c r="B3" s="78">
        <v>2</v>
      </c>
    </row>
    <row r="4" spans="1:2" x14ac:dyDescent="0.35">
      <c r="A4" s="77">
        <v>1968</v>
      </c>
      <c r="B4" s="78">
        <v>3</v>
      </c>
    </row>
    <row r="5" spans="1:2" x14ac:dyDescent="0.35">
      <c r="A5" s="77">
        <v>1970</v>
      </c>
      <c r="B5" s="78">
        <v>4</v>
      </c>
    </row>
    <row r="6" spans="1:2" x14ac:dyDescent="0.35">
      <c r="A6" s="77">
        <v>1975</v>
      </c>
      <c r="B6" s="78">
        <v>6</v>
      </c>
    </row>
    <row r="7" spans="1:2" x14ac:dyDescent="0.35">
      <c r="A7" s="77">
        <v>1977</v>
      </c>
      <c r="B7" s="78">
        <v>7</v>
      </c>
    </row>
    <row r="8" spans="1:2" x14ac:dyDescent="0.35">
      <c r="A8" s="77">
        <v>1979</v>
      </c>
      <c r="B8" s="78">
        <v>12</v>
      </c>
    </row>
    <row r="9" spans="1:2" x14ac:dyDescent="0.35">
      <c r="A9" s="77">
        <v>1982</v>
      </c>
      <c r="B9" s="78">
        <v>13</v>
      </c>
    </row>
    <row r="10" spans="1:2" x14ac:dyDescent="0.35">
      <c r="A10" s="77">
        <v>1985</v>
      </c>
      <c r="B10" s="78">
        <v>14</v>
      </c>
    </row>
    <row r="11" spans="1:2" x14ac:dyDescent="0.35">
      <c r="A11" s="77">
        <v>1987</v>
      </c>
      <c r="B11" s="78">
        <v>15</v>
      </c>
    </row>
    <row r="12" spans="1:2" x14ac:dyDescent="0.35">
      <c r="A12" s="77">
        <v>1992</v>
      </c>
      <c r="B12" s="78">
        <v>16</v>
      </c>
    </row>
    <row r="13" spans="1:2" x14ac:dyDescent="0.35">
      <c r="A13" s="77">
        <v>1993</v>
      </c>
      <c r="B13" s="78">
        <v>17</v>
      </c>
    </row>
    <row r="14" spans="1:2" x14ac:dyDescent="0.35">
      <c r="A14" s="77">
        <v>1994</v>
      </c>
      <c r="B14" s="78">
        <v>19</v>
      </c>
    </row>
    <row r="15" spans="1:2" x14ac:dyDescent="0.35">
      <c r="A15" s="77">
        <v>1995</v>
      </c>
      <c r="B15" s="78">
        <v>20</v>
      </c>
    </row>
    <row r="16" spans="1:2" x14ac:dyDescent="0.35">
      <c r="A16" s="77">
        <v>1996</v>
      </c>
      <c r="B16" s="78">
        <v>25</v>
      </c>
    </row>
    <row r="17" spans="1:2" x14ac:dyDescent="0.35">
      <c r="A17" s="77">
        <v>1999</v>
      </c>
      <c r="B17" s="78">
        <v>27</v>
      </c>
    </row>
    <row r="18" spans="1:2" x14ac:dyDescent="0.35">
      <c r="A18" s="77">
        <v>2002</v>
      </c>
      <c r="B18" s="78">
        <v>32</v>
      </c>
    </row>
    <row r="19" spans="1:2" x14ac:dyDescent="0.35">
      <c r="A19" s="77">
        <v>2006</v>
      </c>
      <c r="B19" s="78">
        <v>34</v>
      </c>
    </row>
    <row r="20" spans="1:2" x14ac:dyDescent="0.35">
      <c r="A20" s="77">
        <v>2007</v>
      </c>
      <c r="B20" s="78">
        <v>35</v>
      </c>
    </row>
    <row r="21" spans="1:2" x14ac:dyDescent="0.35">
      <c r="A21" s="77">
        <v>2008</v>
      </c>
      <c r="B21" s="78">
        <v>40</v>
      </c>
    </row>
    <row r="22" spans="1:2" x14ac:dyDescent="0.35">
      <c r="A22" s="77">
        <v>2009</v>
      </c>
      <c r="B22" s="78">
        <v>41</v>
      </c>
    </row>
    <row r="23" spans="1:2" x14ac:dyDescent="0.35">
      <c r="A23" s="77">
        <v>2010</v>
      </c>
      <c r="B23" s="78">
        <v>45</v>
      </c>
    </row>
    <row r="24" spans="1:2" x14ac:dyDescent="0.35">
      <c r="A24" s="77">
        <v>2011</v>
      </c>
      <c r="B24" s="78">
        <v>46</v>
      </c>
    </row>
    <row r="25" spans="1:2" x14ac:dyDescent="0.35">
      <c r="A25" s="79">
        <v>2012</v>
      </c>
      <c r="B25" s="78">
        <v>49</v>
      </c>
    </row>
    <row r="26" spans="1:2" x14ac:dyDescent="0.35">
      <c r="A26" s="80">
        <v>2014</v>
      </c>
      <c r="B26" s="78">
        <v>50</v>
      </c>
    </row>
    <row r="27" spans="1:2" x14ac:dyDescent="0.35">
      <c r="A27" s="81">
        <v>2015</v>
      </c>
      <c r="B27" s="78">
        <v>51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E17" sqref="E17"/>
    </sheetView>
  </sheetViews>
  <sheetFormatPr baseColWidth="10" defaultRowHeight="14.5" x14ac:dyDescent="0.35"/>
  <sheetData>
    <row r="1" spans="1:3" x14ac:dyDescent="0.35">
      <c r="B1" t="s">
        <v>69</v>
      </c>
      <c r="C1" t="s">
        <v>70</v>
      </c>
    </row>
    <row r="2" spans="1:3" x14ac:dyDescent="0.35">
      <c r="A2">
        <v>2006</v>
      </c>
    </row>
    <row r="3" spans="1:3" x14ac:dyDescent="0.35">
      <c r="A3">
        <v>2007</v>
      </c>
      <c r="B3" s="82">
        <v>5.4175178725752948E-2</v>
      </c>
    </row>
    <row r="4" spans="1:3" x14ac:dyDescent="0.35">
      <c r="A4">
        <v>2008</v>
      </c>
      <c r="B4" s="82">
        <v>5.1240865862994811E-2</v>
      </c>
    </row>
    <row r="5" spans="1:3" x14ac:dyDescent="0.35">
      <c r="A5">
        <v>2009</v>
      </c>
      <c r="B5" s="82">
        <v>2.2732549256171852E-2</v>
      </c>
    </row>
    <row r="6" spans="1:3" x14ac:dyDescent="0.35">
      <c r="A6">
        <v>2010</v>
      </c>
      <c r="B6" s="82">
        <v>2.0116297344020095E-2</v>
      </c>
    </row>
    <row r="7" spans="1:3" x14ac:dyDescent="0.35">
      <c r="A7">
        <v>2011</v>
      </c>
      <c r="B7" s="82">
        <v>0.51134429247714319</v>
      </c>
      <c r="C7" s="82">
        <v>8.9713665769584061E-2</v>
      </c>
    </row>
    <row r="8" spans="1:3" x14ac:dyDescent="0.35">
      <c r="A8">
        <v>2012</v>
      </c>
      <c r="B8" s="82">
        <v>0.48244131479032148</v>
      </c>
      <c r="C8" s="82">
        <v>0.11468865602079514</v>
      </c>
    </row>
    <row r="9" spans="1:3" x14ac:dyDescent="0.35">
      <c r="A9">
        <v>2013</v>
      </c>
      <c r="B9" s="82">
        <v>0.22772052812486465</v>
      </c>
      <c r="C9" s="82">
        <v>7.2455324746186989E-2</v>
      </c>
    </row>
    <row r="10" spans="1:3" x14ac:dyDescent="0.35">
      <c r="A10">
        <v>2014</v>
      </c>
      <c r="B10" s="82">
        <v>0.4573964427486934</v>
      </c>
      <c r="C10" s="82">
        <v>0.14145230001385567</v>
      </c>
    </row>
    <row r="11" spans="1:3" x14ac:dyDescent="0.35">
      <c r="A11">
        <v>2015</v>
      </c>
      <c r="B11" s="82">
        <v>-3.107135689645113E-2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32"/>
  <sheetViews>
    <sheetView tabSelected="1" zoomScale="50" zoomScaleNormal="50" workbookViewId="0">
      <pane xSplit="1" ySplit="2" topLeftCell="C95" activePane="bottomRight" state="frozen"/>
      <selection pane="topRight" activeCell="B1" sqref="B1"/>
      <selection pane="bottomLeft" activeCell="A3" sqref="A3"/>
      <selection pane="bottomRight" activeCell="H132" sqref="H132"/>
    </sheetView>
  </sheetViews>
  <sheetFormatPr baseColWidth="10" defaultColWidth="20.6328125" defaultRowHeight="14.5" x14ac:dyDescent="0.35"/>
  <sheetData>
    <row r="1" spans="1:60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2" t="s">
        <v>1</v>
      </c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x14ac:dyDescent="0.35">
      <c r="A2" s="3" t="s">
        <v>2</v>
      </c>
      <c r="B2" s="3">
        <v>1970</v>
      </c>
      <c r="C2" s="3">
        <f>+B2+1</f>
        <v>1971</v>
      </c>
      <c r="D2" s="3">
        <f t="shared" ref="D2:U2" si="0">+C2+1</f>
        <v>1972</v>
      </c>
      <c r="E2" s="3">
        <f t="shared" si="0"/>
        <v>1973</v>
      </c>
      <c r="F2" s="3">
        <f t="shared" si="0"/>
        <v>1974</v>
      </c>
      <c r="G2" s="3">
        <f t="shared" si="0"/>
        <v>1975</v>
      </c>
      <c r="H2" s="3">
        <f t="shared" si="0"/>
        <v>1976</v>
      </c>
      <c r="I2" s="3">
        <f t="shared" si="0"/>
        <v>1977</v>
      </c>
      <c r="J2" s="3">
        <f t="shared" si="0"/>
        <v>1978</v>
      </c>
      <c r="K2" s="3">
        <f t="shared" si="0"/>
        <v>1979</v>
      </c>
      <c r="L2" s="3">
        <f t="shared" si="0"/>
        <v>1980</v>
      </c>
      <c r="M2" s="3">
        <f t="shared" si="0"/>
        <v>1981</v>
      </c>
      <c r="N2" s="3">
        <f t="shared" si="0"/>
        <v>1982</v>
      </c>
      <c r="O2" s="3">
        <f t="shared" si="0"/>
        <v>1983</v>
      </c>
      <c r="P2" s="3">
        <f t="shared" si="0"/>
        <v>1984</v>
      </c>
      <c r="Q2" s="3">
        <f t="shared" si="0"/>
        <v>1985</v>
      </c>
      <c r="R2" s="3">
        <f t="shared" si="0"/>
        <v>1986</v>
      </c>
      <c r="S2" s="3">
        <f t="shared" si="0"/>
        <v>1987</v>
      </c>
      <c r="T2" s="3">
        <f t="shared" si="0"/>
        <v>1988</v>
      </c>
      <c r="U2" s="3">
        <f t="shared" si="0"/>
        <v>1989</v>
      </c>
      <c r="V2" s="3">
        <v>1990</v>
      </c>
      <c r="W2" s="3">
        <v>1991</v>
      </c>
      <c r="X2" s="3">
        <v>1992</v>
      </c>
      <c r="Y2" s="3">
        <v>1993</v>
      </c>
      <c r="Z2" s="3">
        <v>1994</v>
      </c>
      <c r="AA2" s="3">
        <v>1995</v>
      </c>
      <c r="AB2" s="3">
        <v>1996</v>
      </c>
      <c r="AC2" s="3">
        <v>1997</v>
      </c>
      <c r="AD2" s="3">
        <v>1998</v>
      </c>
      <c r="AE2" s="3">
        <v>1999</v>
      </c>
      <c r="AF2" s="3">
        <v>2000</v>
      </c>
      <c r="AG2" s="3">
        <v>2001</v>
      </c>
      <c r="AH2" s="3">
        <v>2002</v>
      </c>
      <c r="AI2" s="3">
        <v>2003</v>
      </c>
      <c r="AJ2" s="3">
        <v>2004</v>
      </c>
      <c r="AK2" s="3">
        <v>2005</v>
      </c>
      <c r="AL2" s="3">
        <v>2006</v>
      </c>
      <c r="AM2" s="3">
        <v>2007</v>
      </c>
      <c r="AN2" s="3">
        <v>2008</v>
      </c>
      <c r="AO2" s="3">
        <v>2009</v>
      </c>
      <c r="AP2" s="3">
        <v>2010</v>
      </c>
      <c r="AQ2" s="3">
        <v>2011</v>
      </c>
      <c r="AR2" s="3">
        <v>2012</v>
      </c>
      <c r="AS2" s="3">
        <v>2013</v>
      </c>
      <c r="AT2" s="3">
        <v>2014</v>
      </c>
      <c r="AU2" s="3">
        <v>2015</v>
      </c>
      <c r="AV2" s="3">
        <v>2016</v>
      </c>
      <c r="AW2" s="3">
        <v>2017</v>
      </c>
      <c r="AX2" s="3">
        <v>2018</v>
      </c>
      <c r="AY2" s="3">
        <v>2019</v>
      </c>
      <c r="AZ2" s="3">
        <v>2020</v>
      </c>
      <c r="BA2" s="3"/>
      <c r="BB2" s="3"/>
      <c r="BC2" s="3"/>
      <c r="BD2" s="3"/>
      <c r="BE2" s="3"/>
      <c r="BF2" s="3"/>
      <c r="BG2" s="3"/>
      <c r="BH2" s="3"/>
    </row>
    <row r="3" spans="1:60" x14ac:dyDescent="0.35">
      <c r="A3" s="1" t="s">
        <v>3</v>
      </c>
      <c r="B3" s="4">
        <f t="shared" ref="B3:AD3" si="1">+C3/(1+C13)</f>
        <v>432931.71215967403</v>
      </c>
      <c r="C3" s="4">
        <f t="shared" si="1"/>
        <v>416554.60510188504</v>
      </c>
      <c r="D3" s="4">
        <f t="shared" si="1"/>
        <v>481856.03464083292</v>
      </c>
      <c r="E3" s="4">
        <f t="shared" si="1"/>
        <v>588598.05762642005</v>
      </c>
      <c r="F3" s="4">
        <f t="shared" si="1"/>
        <v>998087.16789353895</v>
      </c>
      <c r="G3" s="4">
        <f t="shared" si="1"/>
        <v>1169356.6450447962</v>
      </c>
      <c r="H3" s="4">
        <f t="shared" si="1"/>
        <v>1375083.5360773427</v>
      </c>
      <c r="I3" s="4">
        <f t="shared" si="1"/>
        <v>1667650.0100471452</v>
      </c>
      <c r="J3" s="4">
        <f t="shared" si="1"/>
        <v>1803186.6405856649</v>
      </c>
      <c r="K3" s="4">
        <f t="shared" si="1"/>
        <v>2143884.6986239962</v>
      </c>
      <c r="L3" s="4">
        <f t="shared" si="1"/>
        <v>2704441.393938574</v>
      </c>
      <c r="M3" s="4">
        <f t="shared" si="1"/>
        <v>3298710.5802091928</v>
      </c>
      <c r="N3" s="4">
        <f t="shared" si="1"/>
        <v>3014236.8774786885</v>
      </c>
      <c r="O3" s="4">
        <f t="shared" si="1"/>
        <v>2594180.9984447854</v>
      </c>
      <c r="P3" s="4">
        <f t="shared" si="1"/>
        <v>2557887.6816888181</v>
      </c>
      <c r="Q3" s="4">
        <f t="shared" si="1"/>
        <v>2593668.4951037704</v>
      </c>
      <c r="R3" s="4">
        <f t="shared" si="1"/>
        <v>2316146.3471384179</v>
      </c>
      <c r="S3" s="4">
        <f t="shared" si="1"/>
        <v>2109139.1812997516</v>
      </c>
      <c r="T3" s="4">
        <f t="shared" si="1"/>
        <v>1973997.3311617952</v>
      </c>
      <c r="U3" s="4">
        <f t="shared" si="1"/>
        <v>2100880.8716326202</v>
      </c>
      <c r="V3" s="4">
        <f t="shared" si="1"/>
        <v>2304823.4581487076</v>
      </c>
      <c r="W3" s="4">
        <f t="shared" si="1"/>
        <v>2569332.0764898178</v>
      </c>
      <c r="X3" s="4">
        <f t="shared" si="1"/>
        <v>2736557.6647161786</v>
      </c>
      <c r="Y3" s="4">
        <f t="shared" si="1"/>
        <v>2864276.0091233426</v>
      </c>
      <c r="Z3" s="4">
        <f t="shared" si="1"/>
        <v>3434441.045049408</v>
      </c>
      <c r="AA3" s="4">
        <f t="shared" si="1"/>
        <v>3695209.3120215931</v>
      </c>
      <c r="AB3" s="4">
        <f t="shared" si="1"/>
        <v>3815218.9222368444</v>
      </c>
      <c r="AC3" s="4">
        <f t="shared" si="1"/>
        <v>4259205.6961309602</v>
      </c>
      <c r="AD3" s="4">
        <f t="shared" si="1"/>
        <v>4231959.0393245835</v>
      </c>
      <c r="AE3" s="4">
        <f>+AF3/(1+AF13)</f>
        <v>2971134.8471603808</v>
      </c>
      <c r="AF3" s="5">
        <v>2771876.06</v>
      </c>
      <c r="AG3" s="5">
        <v>6906912.5700000003</v>
      </c>
      <c r="AH3" s="5">
        <v>15255411.17</v>
      </c>
      <c r="AI3" s="5">
        <v>22885695.43</v>
      </c>
      <c r="AJ3" s="5">
        <v>22895464.420000002</v>
      </c>
      <c r="AK3" s="5">
        <v>16509690.210000001</v>
      </c>
      <c r="AL3" s="5">
        <v>17204371</v>
      </c>
      <c r="AM3" s="5">
        <v>62825432.590000004</v>
      </c>
      <c r="AN3" s="5">
        <v>68758703.540000007</v>
      </c>
      <c r="AO3" s="5">
        <v>75981888.810000002</v>
      </c>
      <c r="AP3" s="5">
        <v>54557030.770000003</v>
      </c>
      <c r="AQ3" s="5">
        <v>74609853.890000001</v>
      </c>
      <c r="AR3" s="5">
        <v>114346218.27</v>
      </c>
      <c r="AS3" s="5">
        <v>114346218.27</v>
      </c>
      <c r="AT3" s="5">
        <v>76454880.129999995</v>
      </c>
      <c r="AU3" s="5">
        <v>119142564</v>
      </c>
      <c r="AV3" s="5">
        <v>62780472.890000001</v>
      </c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x14ac:dyDescent="0.35">
      <c r="A4" s="1" t="s">
        <v>4</v>
      </c>
      <c r="B4" s="4">
        <f t="shared" ref="B4:AD4" si="2">+C4/(1+C13)</f>
        <v>677285.2508223044</v>
      </c>
      <c r="C4" s="4">
        <f t="shared" si="2"/>
        <v>651664.64426972321</v>
      </c>
      <c r="D4" s="4">
        <f t="shared" si="2"/>
        <v>753823.23843625374</v>
      </c>
      <c r="E4" s="4">
        <f t="shared" si="2"/>
        <v>920812.15558078897</v>
      </c>
      <c r="F4" s="4">
        <f t="shared" si="2"/>
        <v>1561423.4274434031</v>
      </c>
      <c r="G4" s="4">
        <f t="shared" si="2"/>
        <v>1829360.1193801945</v>
      </c>
      <c r="H4" s="4">
        <f t="shared" si="2"/>
        <v>2151202.5372035424</v>
      </c>
      <c r="I4" s="4">
        <f t="shared" si="2"/>
        <v>2608898.1786624729</v>
      </c>
      <c r="J4" s="4">
        <f t="shared" si="2"/>
        <v>2820933.8374779555</v>
      </c>
      <c r="K4" s="4">
        <f t="shared" si="2"/>
        <v>3353927.2939796085</v>
      </c>
      <c r="L4" s="4">
        <f t="shared" si="2"/>
        <v>4230871.0967154792</v>
      </c>
      <c r="M4" s="4">
        <f t="shared" si="2"/>
        <v>5160555.2560750414</v>
      </c>
      <c r="N4" s="4">
        <f t="shared" si="2"/>
        <v>4715520.0745563479</v>
      </c>
      <c r="O4" s="4">
        <f t="shared" si="2"/>
        <v>4058377.9817037643</v>
      </c>
      <c r="P4" s="4">
        <f t="shared" si="2"/>
        <v>4001600.1401831768</v>
      </c>
      <c r="Q4" s="4">
        <f t="shared" si="2"/>
        <v>4057576.2133321776</v>
      </c>
      <c r="R4" s="4">
        <f t="shared" si="2"/>
        <v>3623416.1545649082</v>
      </c>
      <c r="S4" s="4">
        <f t="shared" si="2"/>
        <v>3299570.8544882396</v>
      </c>
      <c r="T4" s="4">
        <f t="shared" si="2"/>
        <v>3088152.7964054025</v>
      </c>
      <c r="U4" s="4">
        <f t="shared" si="2"/>
        <v>3286651.4236006998</v>
      </c>
      <c r="V4" s="4">
        <f t="shared" si="2"/>
        <v>3605702.4470816352</v>
      </c>
      <c r="W4" s="4">
        <f t="shared" si="2"/>
        <v>4019503.9332886483</v>
      </c>
      <c r="X4" s="4">
        <f t="shared" si="2"/>
        <v>4281114.301124271</v>
      </c>
      <c r="Y4" s="4">
        <f t="shared" si="2"/>
        <v>4480918.9088646062</v>
      </c>
      <c r="Z4" s="4">
        <f t="shared" si="2"/>
        <v>5372894.1523525864</v>
      </c>
      <c r="AA4" s="4">
        <f t="shared" si="2"/>
        <v>5780844.1734349299</v>
      </c>
      <c r="AB4" s="4">
        <f t="shared" si="2"/>
        <v>5968589.1148952255</v>
      </c>
      <c r="AC4" s="4">
        <f t="shared" si="2"/>
        <v>6663169.0799862454</v>
      </c>
      <c r="AD4" s="4">
        <f t="shared" si="2"/>
        <v>6620543.9770638468</v>
      </c>
      <c r="AE4" s="4">
        <f>+AF4/(1+AF13)</f>
        <v>4648090.5733321011</v>
      </c>
      <c r="AF4" s="5">
        <v>4336366.96</v>
      </c>
      <c r="AG4" s="5">
        <v>11933668.25</v>
      </c>
      <c r="AH4" s="5">
        <v>20005223.300000001</v>
      </c>
      <c r="AI4" s="5">
        <v>24110512.789999999</v>
      </c>
      <c r="AJ4" s="6">
        <v>17436839.149999999</v>
      </c>
      <c r="AK4" s="5">
        <v>29755586.379999999</v>
      </c>
      <c r="AL4" s="5">
        <v>51125588.030000001</v>
      </c>
      <c r="AM4" s="5">
        <v>68378254.390000001</v>
      </c>
      <c r="AN4" s="5">
        <v>78369916.430000007</v>
      </c>
      <c r="AO4" s="6">
        <v>39730976.039999999</v>
      </c>
      <c r="AP4" s="5">
        <v>91220643.840000004</v>
      </c>
      <c r="AQ4" s="5">
        <v>108529903.51000001</v>
      </c>
      <c r="AR4" s="5">
        <v>147420718.58000001</v>
      </c>
      <c r="AS4" s="5">
        <v>117221663.59999999</v>
      </c>
      <c r="AT4" s="5">
        <v>105593306.02</v>
      </c>
      <c r="AU4" s="5">
        <v>99297058.030000001</v>
      </c>
      <c r="AV4" s="5">
        <v>62827744.859999999</v>
      </c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x14ac:dyDescent="0.35">
      <c r="A5" s="7" t="s">
        <v>5</v>
      </c>
      <c r="B5" s="8">
        <f t="shared" ref="B5:U5" si="3">+C5/(1+C13)</f>
        <v>157834.29927330365</v>
      </c>
      <c r="C5" s="8">
        <f t="shared" si="3"/>
        <v>151863.6827904052</v>
      </c>
      <c r="D5" s="8">
        <f t="shared" si="3"/>
        <v>175670.68302471351</v>
      </c>
      <c r="E5" s="8">
        <f t="shared" si="3"/>
        <v>214585.71726164024</v>
      </c>
      <c r="F5" s="8">
        <f t="shared" si="3"/>
        <v>363873.52631736011</v>
      </c>
      <c r="G5" s="8">
        <f t="shared" si="3"/>
        <v>426313.39189852541</v>
      </c>
      <c r="H5" s="8">
        <f t="shared" si="3"/>
        <v>501315.42749859113</v>
      </c>
      <c r="I5" s="8">
        <f t="shared" si="3"/>
        <v>607976.64706952893</v>
      </c>
      <c r="J5" s="8">
        <f t="shared" si="3"/>
        <v>657389.35698675015</v>
      </c>
      <c r="K5" s="8">
        <f t="shared" si="3"/>
        <v>781597.9509610869</v>
      </c>
      <c r="L5" s="8">
        <f t="shared" si="3"/>
        <v>985960.60382977698</v>
      </c>
      <c r="M5" s="8">
        <f t="shared" si="3"/>
        <v>1202613.8495041099</v>
      </c>
      <c r="N5" s="8">
        <f t="shared" si="3"/>
        <v>1098903.0187401318</v>
      </c>
      <c r="O5" s="8">
        <f t="shared" si="3"/>
        <v>945762.8733989303</v>
      </c>
      <c r="P5" s="8">
        <f t="shared" si="3"/>
        <v>932531.38663648814</v>
      </c>
      <c r="Q5" s="8">
        <f t="shared" si="3"/>
        <v>945576.02960016858</v>
      </c>
      <c r="R5" s="8">
        <f t="shared" si="3"/>
        <v>844399.53333837877</v>
      </c>
      <c r="S5" s="8">
        <f t="shared" si="3"/>
        <v>768930.74681380088</v>
      </c>
      <c r="T5" s="8">
        <f t="shared" si="3"/>
        <v>719661.96233825933</v>
      </c>
      <c r="U5" s="8">
        <f t="shared" si="3"/>
        <v>765920.00751500612</v>
      </c>
      <c r="V5" s="8">
        <f>+W5/(1+W13)</f>
        <v>840271.53763086814</v>
      </c>
      <c r="W5" s="8">
        <f t="shared" ref="W5:AD5" si="4">+X5/(1+X13)</f>
        <v>936703.67982566566</v>
      </c>
      <c r="X5" s="8">
        <f t="shared" si="4"/>
        <v>997669.26122557721</v>
      </c>
      <c r="Y5" s="8">
        <f t="shared" si="4"/>
        <v>1044231.6516157188</v>
      </c>
      <c r="Z5" s="8">
        <f t="shared" si="4"/>
        <v>1252097.2257650613</v>
      </c>
      <c r="AA5" s="8">
        <f t="shared" si="4"/>
        <v>1347165.744735297</v>
      </c>
      <c r="AB5" s="8">
        <f t="shared" si="4"/>
        <v>1390917.7550463376</v>
      </c>
      <c r="AC5" s="8">
        <f t="shared" si="4"/>
        <v>1552782.4080065412</v>
      </c>
      <c r="AD5" s="8">
        <f t="shared" si="4"/>
        <v>1542849.0701063862</v>
      </c>
      <c r="AE5" s="8">
        <f>+AF5/(1+AF13)</f>
        <v>1083189.2732198271</v>
      </c>
      <c r="AF5" s="9">
        <v>1010545.32</v>
      </c>
      <c r="AG5" s="9">
        <v>10944066.279999999</v>
      </c>
      <c r="AH5" s="9">
        <v>10623973.1</v>
      </c>
      <c r="AI5" s="9">
        <v>8805152.9900000002</v>
      </c>
      <c r="AJ5" s="9">
        <v>9066226.1400000006</v>
      </c>
      <c r="AK5" s="9">
        <v>26116394.280000001</v>
      </c>
      <c r="AL5" s="9">
        <v>15722203.609999999</v>
      </c>
      <c r="AM5" s="9">
        <v>19669716.199999999</v>
      </c>
      <c r="AN5" s="9">
        <v>73948588.069999993</v>
      </c>
      <c r="AO5" s="9">
        <v>34768935.439999998</v>
      </c>
      <c r="AP5" s="9">
        <v>82297957.950000003</v>
      </c>
      <c r="AQ5" s="9">
        <v>100783562.92</v>
      </c>
      <c r="AR5" s="9">
        <v>135597794.5</v>
      </c>
      <c r="AS5" s="9">
        <v>102313402.92</v>
      </c>
      <c r="AT5" s="9">
        <v>102389892.83</v>
      </c>
      <c r="AU5" s="9">
        <v>93343869.409999996</v>
      </c>
      <c r="AV5" s="9">
        <v>34601091.420000002</v>
      </c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</row>
    <row r="6" spans="1:60" x14ac:dyDescent="0.35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5"/>
      <c r="AG6" s="5"/>
      <c r="AH6" s="5"/>
      <c r="AI6" s="5"/>
      <c r="AJ6" s="5"/>
      <c r="AK6" s="5"/>
      <c r="AL6" s="5"/>
      <c r="AM6" s="5"/>
      <c r="AN6" s="5">
        <v>72690456.269999996</v>
      </c>
      <c r="AO6" s="5">
        <v>29183243.27</v>
      </c>
      <c r="AP6" s="5">
        <v>81161927.680000007</v>
      </c>
      <c r="AQ6" s="5">
        <v>100451481.66</v>
      </c>
      <c r="AR6" s="5">
        <v>135402520.87</v>
      </c>
      <c r="AS6" s="5">
        <v>101788716.19</v>
      </c>
      <c r="AT6" s="5">
        <v>99835525.939999998</v>
      </c>
      <c r="AU6" s="5">
        <v>86084156.150000006</v>
      </c>
      <c r="AV6" s="5">
        <v>33723644.039999999</v>
      </c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x14ac:dyDescent="0.35">
      <c r="A7" s="10" t="s">
        <v>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1"/>
      <c r="AG7" s="11"/>
      <c r="AH7" s="11"/>
      <c r="AI7" s="11"/>
      <c r="AJ7" s="11"/>
      <c r="AK7" s="11"/>
      <c r="AL7" s="11"/>
      <c r="AM7" s="11"/>
      <c r="AN7" s="11">
        <v>12196360.82</v>
      </c>
      <c r="AO7" s="11">
        <v>15027486.26</v>
      </c>
      <c r="AP7" s="11">
        <v>18555641.440000001</v>
      </c>
      <c r="AQ7" s="11">
        <v>24189349.610000003</v>
      </c>
      <c r="AR7" s="11">
        <v>28802730.120000001</v>
      </c>
      <c r="AS7" s="11">
        <v>31176663.149999995</v>
      </c>
      <c r="AT7" s="11">
        <v>37410039.519999996</v>
      </c>
      <c r="AU7" s="11">
        <v>38866199.869999997</v>
      </c>
      <c r="AV7" s="11">
        <v>26112218.68</v>
      </c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</row>
    <row r="8" spans="1:60" x14ac:dyDescent="0.35">
      <c r="A8" s="10" t="s">
        <v>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1"/>
      <c r="AG8" s="11"/>
      <c r="AH8" s="11"/>
      <c r="AI8" s="11"/>
      <c r="AJ8" s="11"/>
      <c r="AK8" s="11"/>
      <c r="AL8" s="11"/>
      <c r="AM8" s="11"/>
      <c r="AN8" s="11">
        <v>61752227.25</v>
      </c>
      <c r="AO8" s="11">
        <v>19741449.179999996</v>
      </c>
      <c r="AP8" s="11">
        <v>63742316.509999998</v>
      </c>
      <c r="AQ8" s="11">
        <v>76594213.309999987</v>
      </c>
      <c r="AR8" s="11">
        <v>106795064.38</v>
      </c>
      <c r="AS8" s="11">
        <v>71136739.769999996</v>
      </c>
      <c r="AT8" s="11">
        <v>64979853.310000002</v>
      </c>
      <c r="AU8" s="11">
        <v>54477669.540000007</v>
      </c>
      <c r="AV8" s="11">
        <v>8488872.7400000002</v>
      </c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</row>
    <row r="9" spans="1:60" x14ac:dyDescent="0.35">
      <c r="A9" s="7" t="s">
        <v>9</v>
      </c>
      <c r="B9" s="12">
        <f t="shared" ref="B9:U9" si="5">+C9/(1+C13)</f>
        <v>604473.12995111314</v>
      </c>
      <c r="C9" s="12">
        <f t="shared" si="5"/>
        <v>581606.88826744771</v>
      </c>
      <c r="D9" s="12">
        <f t="shared" si="5"/>
        <v>672782.83679470979</v>
      </c>
      <c r="E9" s="12">
        <f t="shared" si="5"/>
        <v>821819.46986910619</v>
      </c>
      <c r="F9" s="12">
        <f t="shared" si="5"/>
        <v>1393561.2878322348</v>
      </c>
      <c r="G9" s="12">
        <f t="shared" si="5"/>
        <v>1632693.220215437</v>
      </c>
      <c r="H9" s="12">
        <f t="shared" si="5"/>
        <v>1919935.6980584317</v>
      </c>
      <c r="I9" s="12">
        <f t="shared" si="5"/>
        <v>2328426.384400351</v>
      </c>
      <c r="J9" s="12">
        <f t="shared" si="5"/>
        <v>2517666.9712724667</v>
      </c>
      <c r="K9" s="12">
        <f t="shared" si="5"/>
        <v>2993360.5176827149</v>
      </c>
      <c r="L9" s="12">
        <f t="shared" si="5"/>
        <v>3776027.7388976938</v>
      </c>
      <c r="M9" s="12">
        <f t="shared" si="5"/>
        <v>4605765.4203129429</v>
      </c>
      <c r="N9" s="12">
        <f t="shared" si="5"/>
        <v>4208574.1205107486</v>
      </c>
      <c r="O9" s="12">
        <f t="shared" si="5"/>
        <v>3622078.6413799855</v>
      </c>
      <c r="P9" s="12">
        <f t="shared" si="5"/>
        <v>3571404.7494944786</v>
      </c>
      <c r="Q9" s="12">
        <f t="shared" si="5"/>
        <v>3621363.0677919285</v>
      </c>
      <c r="R9" s="12">
        <f t="shared" si="5"/>
        <v>3233877.751517612</v>
      </c>
      <c r="S9" s="12">
        <f t="shared" si="5"/>
        <v>2944847.7129635015</v>
      </c>
      <c r="T9" s="12">
        <f t="shared" si="5"/>
        <v>2756158.3311375151</v>
      </c>
      <c r="U9" s="12">
        <f t="shared" si="5"/>
        <v>2933317.1963661052</v>
      </c>
      <c r="V9" s="12">
        <f>+W9/(1+W13)</f>
        <v>3218068.3710646164</v>
      </c>
      <c r="W9" s="12">
        <f t="shared" ref="W9:AG9" si="6">+X9/(1+X13)</f>
        <v>3587383.7802548888</v>
      </c>
      <c r="X9" s="12">
        <f t="shared" si="6"/>
        <v>3820869.5053334497</v>
      </c>
      <c r="Y9" s="12">
        <f t="shared" si="6"/>
        <v>3999193.9505695123</v>
      </c>
      <c r="Z9" s="12">
        <f t="shared" si="6"/>
        <v>4795276.6448485674</v>
      </c>
      <c r="AA9" s="12">
        <f t="shared" si="6"/>
        <v>5159369.6555968029</v>
      </c>
      <c r="AB9" s="12">
        <f t="shared" si="6"/>
        <v>5326930.9191252897</v>
      </c>
      <c r="AC9" s="12">
        <f t="shared" si="6"/>
        <v>5946839.4805329833</v>
      </c>
      <c r="AD9" s="12">
        <f t="shared" si="6"/>
        <v>5908796.8251721766</v>
      </c>
      <c r="AE9" s="12">
        <f t="shared" si="6"/>
        <v>4148393.6845621197</v>
      </c>
      <c r="AF9" s="12">
        <f t="shared" si="6"/>
        <v>3870182.1806178787</v>
      </c>
      <c r="AG9" s="12">
        <f t="shared" si="6"/>
        <v>5169437.9682370275</v>
      </c>
      <c r="AH9" s="12">
        <f>+AI9/(1+AI13)</f>
        <v>6031553.2946233116</v>
      </c>
      <c r="AI9" s="9">
        <v>6852110</v>
      </c>
      <c r="AJ9" s="9">
        <v>6852110</v>
      </c>
      <c r="AK9" s="9">
        <v>6852110</v>
      </c>
      <c r="AL9" s="9">
        <v>6852110</v>
      </c>
      <c r="AM9" s="9">
        <v>6852110</v>
      </c>
      <c r="AN9" s="13">
        <v>20270357.300000001</v>
      </c>
      <c r="AO9" s="13">
        <v>20270357.300000001</v>
      </c>
      <c r="AP9" s="13">
        <v>20270357.300000001</v>
      </c>
      <c r="AQ9" s="9">
        <v>18056587.690000001</v>
      </c>
      <c r="AR9" s="14">
        <f>+'[2]12'!D40</f>
        <v>16067367</v>
      </c>
      <c r="AS9" s="14">
        <f>+'[2]13'!D39</f>
        <v>16153978.310000001</v>
      </c>
      <c r="AT9" s="14">
        <f>+'[2]14'!D42</f>
        <v>26472422.030000001</v>
      </c>
      <c r="AU9" s="14">
        <f>+'[2]15'!D41</f>
        <v>19784867.059999999</v>
      </c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</row>
    <row r="10" spans="1:60" x14ac:dyDescent="0.35">
      <c r="A10" s="1" t="s">
        <v>10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4">
        <f>+W10/(1+W13)</f>
        <v>4488831.7974553471</v>
      </c>
      <c r="W10" s="4">
        <f t="shared" ref="W10:AG10" si="7">+X10/(1+X13)</f>
        <v>5003983.9200670514</v>
      </c>
      <c r="X10" s="4">
        <f t="shared" si="7"/>
        <v>5329669.4015839752</v>
      </c>
      <c r="Y10" s="4">
        <f t="shared" si="7"/>
        <v>5578411.301301416</v>
      </c>
      <c r="Z10" s="4">
        <f t="shared" si="7"/>
        <v>6688854.2439109758</v>
      </c>
      <c r="AA10" s="4">
        <f t="shared" si="7"/>
        <v>7196721.726955547</v>
      </c>
      <c r="AB10" s="4">
        <f t="shared" si="7"/>
        <v>7430450.2376706982</v>
      </c>
      <c r="AC10" s="4">
        <f t="shared" si="7"/>
        <v>8295150.7166854069</v>
      </c>
      <c r="AD10" s="4">
        <f>+AE10/(1+AE13)</f>
        <v>8242085.6287653726</v>
      </c>
      <c r="AE10" s="4">
        <f t="shared" si="7"/>
        <v>5786527.6098732967</v>
      </c>
      <c r="AF10" s="4">
        <f t="shared" si="7"/>
        <v>5398454.8589796815</v>
      </c>
      <c r="AG10" s="4">
        <f t="shared" si="7"/>
        <v>7210765.8542750701</v>
      </c>
      <c r="AH10" s="4">
        <f>+AI10/(1+AI13)</f>
        <v>8413316.6530562937</v>
      </c>
      <c r="AI10" s="5">
        <f>+[3]graf_pag_15a!$B$4</f>
        <v>9557898</v>
      </c>
      <c r="AJ10" s="4">
        <f>+AI10*(1+AJ13)</f>
        <v>10783488.876884608</v>
      </c>
      <c r="AK10" s="4">
        <f>+AJ10*(1+AK13)</f>
        <v>12232054.440201661</v>
      </c>
      <c r="AL10" s="4">
        <f>+AK10*(1+AL13)</f>
        <v>13792468.20442133</v>
      </c>
      <c r="AM10" s="4">
        <f>+AL10*(1+AM13)</f>
        <v>15031889.257886123</v>
      </c>
      <c r="AN10" s="5">
        <f>+[3]graf_pag_15a!$B$9</f>
        <v>24247957.300000001</v>
      </c>
      <c r="AO10" s="4">
        <f>+AN10*(1+AO13)</f>
        <v>24545174.870492619</v>
      </c>
      <c r="AP10" s="4">
        <f>+AO10*(1+AP13)</f>
        <v>27307377.170708943</v>
      </c>
      <c r="AQ10" s="5">
        <f>+[3]graf_pag_15a!$B$12</f>
        <v>34159835.912587829</v>
      </c>
      <c r="AR10" s="5">
        <f>+[3]graf_pag_15a!$B$13</f>
        <v>37678426.557411954</v>
      </c>
      <c r="AS10" s="5">
        <f>+[3]graf_pag_15a!$B$14</f>
        <v>35242798.816461943</v>
      </c>
      <c r="AT10" s="5">
        <f>+[3]graf_pag_15a!$B$15</f>
        <v>62288299.376461945</v>
      </c>
      <c r="AU10" s="5">
        <f>+[3]graf_pag_15a!$B$16</f>
        <v>49732335.306461953</v>
      </c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x14ac:dyDescent="0.35">
      <c r="A11" s="15" t="s">
        <v>63</v>
      </c>
      <c r="B11" s="8">
        <f t="shared" ref="B11:U11" si="8">+B9+B5</f>
        <v>762307.42922441685</v>
      </c>
      <c r="C11" s="8">
        <f t="shared" si="8"/>
        <v>733470.57105785294</v>
      </c>
      <c r="D11" s="8">
        <f t="shared" si="8"/>
        <v>848453.51981942332</v>
      </c>
      <c r="E11" s="8">
        <f t="shared" si="8"/>
        <v>1036405.1871307464</v>
      </c>
      <c r="F11" s="8">
        <f t="shared" si="8"/>
        <v>1757434.8141495949</v>
      </c>
      <c r="G11" s="8">
        <f t="shared" si="8"/>
        <v>2059006.6121139624</v>
      </c>
      <c r="H11" s="8">
        <f t="shared" si="8"/>
        <v>2421251.1255570231</v>
      </c>
      <c r="I11" s="8">
        <f t="shared" si="8"/>
        <v>2936403.0314698797</v>
      </c>
      <c r="J11" s="8">
        <f t="shared" si="8"/>
        <v>3175056.3282592166</v>
      </c>
      <c r="K11" s="8">
        <f t="shared" si="8"/>
        <v>3774958.4686438018</v>
      </c>
      <c r="L11" s="8">
        <f t="shared" si="8"/>
        <v>4761988.3427274711</v>
      </c>
      <c r="M11" s="8">
        <f t="shared" si="8"/>
        <v>5808379.2698170524</v>
      </c>
      <c r="N11" s="8">
        <f t="shared" si="8"/>
        <v>5307477.1392508801</v>
      </c>
      <c r="O11" s="8">
        <f t="shared" si="8"/>
        <v>4567841.5147789158</v>
      </c>
      <c r="P11" s="8">
        <f t="shared" si="8"/>
        <v>4503936.1361309662</v>
      </c>
      <c r="Q11" s="8">
        <f t="shared" si="8"/>
        <v>4566939.0973920971</v>
      </c>
      <c r="R11" s="8">
        <f t="shared" si="8"/>
        <v>4078277.2848559907</v>
      </c>
      <c r="S11" s="8">
        <f t="shared" si="8"/>
        <v>3713778.4597773021</v>
      </c>
      <c r="T11" s="8">
        <f>+T9+T5</f>
        <v>3475820.2934757746</v>
      </c>
      <c r="U11" s="8">
        <f t="shared" si="8"/>
        <v>3699237.2038811115</v>
      </c>
      <c r="V11" s="8">
        <f>+V9+V5</f>
        <v>4058339.9086954845</v>
      </c>
      <c r="W11" s="8">
        <f t="shared" ref="W11:AV11" si="9">+W9+W5</f>
        <v>4524087.4600805547</v>
      </c>
      <c r="X11" s="8">
        <f t="shared" si="9"/>
        <v>4818538.7665590271</v>
      </c>
      <c r="Y11" s="8">
        <f t="shared" si="9"/>
        <v>5043425.6021852307</v>
      </c>
      <c r="Z11" s="8">
        <f t="shared" si="9"/>
        <v>6047373.870613629</v>
      </c>
      <c r="AA11" s="8">
        <f t="shared" si="9"/>
        <v>6506535.4003320998</v>
      </c>
      <c r="AB11" s="8">
        <f t="shared" si="9"/>
        <v>6717848.6741716275</v>
      </c>
      <c r="AC11" s="8">
        <f t="shared" si="9"/>
        <v>7499621.8885395247</v>
      </c>
      <c r="AD11" s="8">
        <f t="shared" si="9"/>
        <v>7451645.8952785628</v>
      </c>
      <c r="AE11" s="8">
        <f t="shared" si="9"/>
        <v>5231582.9577819463</v>
      </c>
      <c r="AF11" s="8">
        <f t="shared" si="9"/>
        <v>4880727.5006178785</v>
      </c>
      <c r="AG11" s="8">
        <f t="shared" si="9"/>
        <v>16113504.248237027</v>
      </c>
      <c r="AH11" s="8">
        <f t="shared" si="9"/>
        <v>16655526.394623311</v>
      </c>
      <c r="AI11" s="8">
        <f>+AI9+AI5</f>
        <v>15657262.99</v>
      </c>
      <c r="AJ11" s="8">
        <f t="shared" si="9"/>
        <v>15918336.140000001</v>
      </c>
      <c r="AK11" s="8">
        <f t="shared" si="9"/>
        <v>32968504.280000001</v>
      </c>
      <c r="AL11" s="8">
        <f t="shared" si="9"/>
        <v>22574313.609999999</v>
      </c>
      <c r="AM11" s="8">
        <f t="shared" si="9"/>
        <v>26521826.199999999</v>
      </c>
      <c r="AN11" s="8">
        <f t="shared" si="9"/>
        <v>94218945.36999999</v>
      </c>
      <c r="AO11" s="8">
        <f t="shared" si="9"/>
        <v>55039292.739999995</v>
      </c>
      <c r="AP11" s="8">
        <f t="shared" si="9"/>
        <v>102568315.25</v>
      </c>
      <c r="AQ11" s="8">
        <f t="shared" si="9"/>
        <v>118840150.61</v>
      </c>
      <c r="AR11" s="8">
        <f t="shared" si="9"/>
        <v>151665161.5</v>
      </c>
      <c r="AS11" s="8">
        <f t="shared" si="9"/>
        <v>118467381.23</v>
      </c>
      <c r="AT11" s="8">
        <f t="shared" si="9"/>
        <v>128862314.86</v>
      </c>
      <c r="AU11" s="8">
        <f t="shared" si="9"/>
        <v>113128736.47</v>
      </c>
      <c r="AV11" s="8">
        <f t="shared" si="9"/>
        <v>34601091.420000002</v>
      </c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</row>
    <row r="12" spans="1:60" x14ac:dyDescent="0.35">
      <c r="A12" s="1" t="s">
        <v>11</v>
      </c>
      <c r="B12" s="16">
        <v>2861132</v>
      </c>
      <c r="C12" s="16">
        <v>2752900</v>
      </c>
      <c r="D12" s="16">
        <v>3184460</v>
      </c>
      <c r="E12" s="16">
        <v>3889890</v>
      </c>
      <c r="F12" s="16">
        <v>6596096</v>
      </c>
      <c r="G12" s="16">
        <v>7727971</v>
      </c>
      <c r="H12" s="16">
        <v>9087566</v>
      </c>
      <c r="I12" s="16">
        <v>11021061</v>
      </c>
      <c r="J12" s="16">
        <v>11916787</v>
      </c>
      <c r="K12" s="16">
        <v>14168371</v>
      </c>
      <c r="L12" s="16">
        <v>17872943</v>
      </c>
      <c r="M12" s="16">
        <v>21800312</v>
      </c>
      <c r="N12" s="16">
        <v>19920300</v>
      </c>
      <c r="O12" s="16">
        <v>17144261</v>
      </c>
      <c r="P12" s="16">
        <v>16904408</v>
      </c>
      <c r="Q12" s="16">
        <v>17140874</v>
      </c>
      <c r="R12" s="16">
        <v>15306803</v>
      </c>
      <c r="S12" s="16">
        <v>13938747</v>
      </c>
      <c r="T12" s="16">
        <v>13045630</v>
      </c>
      <c r="U12" s="16">
        <v>13884170</v>
      </c>
      <c r="V12" s="16">
        <v>15231973</v>
      </c>
      <c r="W12" s="16">
        <v>16980041</v>
      </c>
      <c r="X12" s="16">
        <v>18085191</v>
      </c>
      <c r="Y12" s="16">
        <v>18929248</v>
      </c>
      <c r="Z12" s="16">
        <v>22697319</v>
      </c>
      <c r="AA12" s="16">
        <v>24420668</v>
      </c>
      <c r="AB12" s="16">
        <v>25213780</v>
      </c>
      <c r="AC12" s="16">
        <v>28147972</v>
      </c>
      <c r="AD12" s="16">
        <v>27967906</v>
      </c>
      <c r="AE12" s="16">
        <v>19635450</v>
      </c>
      <c r="AF12" s="16">
        <v>18318601</v>
      </c>
      <c r="AG12" s="16">
        <v>24468324</v>
      </c>
      <c r="AH12" s="16">
        <v>28548945</v>
      </c>
      <c r="AI12" s="16">
        <v>32432858</v>
      </c>
      <c r="AJ12" s="16">
        <v>36591661</v>
      </c>
      <c r="AK12" s="16">
        <v>41507085</v>
      </c>
      <c r="AL12" s="16">
        <v>46802044</v>
      </c>
      <c r="AM12" s="16">
        <v>51007777</v>
      </c>
      <c r="AN12" s="16">
        <v>61762635</v>
      </c>
      <c r="AO12" s="16">
        <v>62519686</v>
      </c>
      <c r="AP12" s="16">
        <v>69555367</v>
      </c>
      <c r="AQ12" s="16">
        <v>79276664</v>
      </c>
      <c r="AR12" s="16">
        <v>87924544</v>
      </c>
      <c r="AS12" s="17">
        <v>94776170</v>
      </c>
      <c r="AT12" s="17">
        <v>100917372</v>
      </c>
      <c r="AU12" s="17">
        <v>100871770</v>
      </c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 x14ac:dyDescent="0.35">
      <c r="A13" s="1" t="s">
        <v>12</v>
      </c>
      <c r="B13" s="18">
        <v>-8.0221495334613882E-2</v>
      </c>
      <c r="C13" s="18">
        <v>-3.7828384010244895E-2</v>
      </c>
      <c r="D13" s="18">
        <v>0.15676559264775328</v>
      </c>
      <c r="E13" s="18">
        <v>0.22152264434158378</v>
      </c>
      <c r="F13" s="18">
        <v>0.69570244916951363</v>
      </c>
      <c r="G13" s="18">
        <v>0.17159771476946364</v>
      </c>
      <c r="H13" s="18">
        <v>0.17593169021985205</v>
      </c>
      <c r="I13" s="18">
        <v>0.21276269135211784</v>
      </c>
      <c r="J13" s="18">
        <v>8.1274026157735643E-2</v>
      </c>
      <c r="K13" s="18">
        <v>0.18894220396823408</v>
      </c>
      <c r="L13" s="18">
        <v>0.26146774389236421</v>
      </c>
      <c r="M13" s="18">
        <v>0.21973823784924509</v>
      </c>
      <c r="N13" s="18">
        <v>-8.6237848339051293E-2</v>
      </c>
      <c r="O13" s="18">
        <v>-0.13935728879585146</v>
      </c>
      <c r="P13" s="18">
        <v>-1.399027931270995E-2</v>
      </c>
      <c r="Q13" s="18">
        <v>1.3988422428043622E-2</v>
      </c>
      <c r="R13" s="18">
        <v>-0.10699985309967275</v>
      </c>
      <c r="S13" s="18">
        <v>-8.9375684785385948E-2</v>
      </c>
      <c r="T13" s="18">
        <v>-6.4074410705639462E-2</v>
      </c>
      <c r="U13" s="18">
        <v>6.4277463027849174E-2</v>
      </c>
      <c r="V13" s="19">
        <v>9.7074798133413812E-2</v>
      </c>
      <c r="W13" s="19">
        <v>0.11476307107424626</v>
      </c>
      <c r="X13" s="19">
        <v>6.5085237426694087E-2</v>
      </c>
      <c r="Y13" s="19">
        <v>4.6671168692661302E-2</v>
      </c>
      <c r="Z13" s="19">
        <v>0.19906078677821751</v>
      </c>
      <c r="AA13" s="19">
        <v>7.5927425613571367E-2</v>
      </c>
      <c r="AB13" s="19">
        <v>3.2477080479534792E-2</v>
      </c>
      <c r="AC13" s="19">
        <v>0.11637255500761885</v>
      </c>
      <c r="AD13" s="19">
        <v>-6.3971216114610315E-3</v>
      </c>
      <c r="AE13" s="19">
        <v>-0.29792920499661291</v>
      </c>
      <c r="AF13" s="19">
        <v>-6.7064875009230751E-2</v>
      </c>
      <c r="AG13" s="19">
        <v>0.33570920617791716</v>
      </c>
      <c r="AH13" s="19">
        <v>0.16677157781628199</v>
      </c>
      <c r="AI13" s="19">
        <v>0.13604401143369746</v>
      </c>
      <c r="AJ13" s="19">
        <v>0.12822807660058821</v>
      </c>
      <c r="AK13" s="19">
        <v>0.13433180855058752</v>
      </c>
      <c r="AL13" s="19">
        <v>0.12756759478532401</v>
      </c>
      <c r="AM13" s="19">
        <v>8.9862164994332291E-2</v>
      </c>
      <c r="AN13" s="19">
        <v>0.21084741646357183</v>
      </c>
      <c r="AO13" s="19">
        <v>1.2257427164498408E-2</v>
      </c>
      <c r="AP13" s="19">
        <v>0.11253545003409006</v>
      </c>
      <c r="AQ13" s="19">
        <v>0.13976343479001413</v>
      </c>
      <c r="AR13" s="19">
        <v>0.10908481214598031</v>
      </c>
      <c r="AS13" s="19">
        <v>7.792620454193086E-2</v>
      </c>
      <c r="AT13" s="19">
        <v>6.479689989582825E-2</v>
      </c>
      <c r="AU13" s="19">
        <v>-4.5187462868137308E-4</v>
      </c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ht="15.5" x14ac:dyDescent="0.35">
      <c r="A14" s="1" t="s">
        <v>13</v>
      </c>
      <c r="B14" s="20">
        <v>-8.0221495334613877</v>
      </c>
      <c r="C14" s="20">
        <v>-3.7828384010244895</v>
      </c>
      <c r="D14" s="20">
        <v>15.676559264775328</v>
      </c>
      <c r="E14" s="20">
        <v>22.152264434158379</v>
      </c>
      <c r="F14" s="20">
        <v>69.570244916951367</v>
      </c>
      <c r="G14" s="20">
        <v>17.159771476946364</v>
      </c>
      <c r="H14" s="20">
        <v>17.593169021985204</v>
      </c>
      <c r="I14" s="20">
        <v>21.276269135211784</v>
      </c>
      <c r="J14" s="20">
        <v>8.1274026157735637</v>
      </c>
      <c r="K14" s="20">
        <v>18.894220396823407</v>
      </c>
      <c r="L14" s="20">
        <v>26.14677438923642</v>
      </c>
      <c r="M14" s="20">
        <v>21.973823784924509</v>
      </c>
      <c r="N14" s="20">
        <v>-8.6237848339051286</v>
      </c>
      <c r="O14" s="20">
        <v>-13.935728879585147</v>
      </c>
      <c r="P14" s="20">
        <v>-1.399027931270995</v>
      </c>
      <c r="Q14" s="20">
        <v>1.3988422428043621</v>
      </c>
      <c r="R14" s="20">
        <v>-10.699985309967275</v>
      </c>
      <c r="S14" s="20">
        <v>-8.9375684785385943</v>
      </c>
      <c r="T14" s="20">
        <v>-6.4074410705639462</v>
      </c>
      <c r="U14" s="20">
        <v>6.4277463027849171</v>
      </c>
      <c r="V14" s="20">
        <v>9.7074798133413811</v>
      </c>
      <c r="W14" s="20">
        <v>11.476307107424626</v>
      </c>
      <c r="X14" s="20">
        <v>6.5085237426694089</v>
      </c>
      <c r="Y14" s="20">
        <v>4.6671168692661302</v>
      </c>
      <c r="Z14" s="20">
        <v>19.90607867782175</v>
      </c>
      <c r="AA14" s="20">
        <v>7.5927425613571371</v>
      </c>
      <c r="AB14" s="20">
        <v>3.2477080479534792</v>
      </c>
      <c r="AC14" s="20">
        <v>11.637255500761885</v>
      </c>
      <c r="AD14" s="20">
        <v>-0.63971216114610319</v>
      </c>
      <c r="AE14" s="20">
        <v>-29.792920499661292</v>
      </c>
      <c r="AF14" s="20">
        <v>-6.7064875009230747</v>
      </c>
      <c r="AG14" s="20">
        <v>33.570920617791714</v>
      </c>
      <c r="AH14" s="20">
        <v>16.6771577816282</v>
      </c>
      <c r="AI14" s="20">
        <v>13.604401143369746</v>
      </c>
      <c r="AJ14" s="20">
        <v>12.822807660058821</v>
      </c>
      <c r="AK14" s="20">
        <v>13.433180855058751</v>
      </c>
      <c r="AL14" s="20">
        <v>12.7567594785324</v>
      </c>
      <c r="AM14" s="20">
        <v>8.9862164994332296</v>
      </c>
      <c r="AN14" s="20">
        <v>21.084741646357184</v>
      </c>
      <c r="AO14" s="20">
        <v>1.2257427164498407</v>
      </c>
      <c r="AP14" s="20">
        <v>11.253545003409005</v>
      </c>
      <c r="AQ14" s="20">
        <v>13.976343479001413</v>
      </c>
      <c r="AR14" s="20">
        <v>10.908481214598032</v>
      </c>
      <c r="AS14" s="21">
        <f>7.79262045419309</f>
        <v>7.7926204541930897</v>
      </c>
      <c r="AT14" s="21">
        <f>6.47968998958283</f>
        <v>6.4796899895828304</v>
      </c>
      <c r="AU14" s="21">
        <f>-0.0451874628681373</f>
        <v>-4.5187462868137303E-2</v>
      </c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1:60" x14ac:dyDescent="0.35">
      <c r="A15" s="22" t="s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23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6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24">
        <f>+AI10*(1-AH13)</f>
        <v>7963912.2699329145</v>
      </c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2" t="s">
        <v>15</v>
      </c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 x14ac:dyDescent="0.35">
      <c r="A17" s="1" t="s">
        <v>62</v>
      </c>
      <c r="B17" s="74">
        <f>B11/(B12*1000)</f>
        <v>2.6643560283986091E-4</v>
      </c>
      <c r="C17" s="74">
        <f t="shared" ref="C17:AT17" si="10">C11/(C12*1000)</f>
        <v>2.6643560283986085E-4</v>
      </c>
      <c r="D17" s="74">
        <f t="shared" si="10"/>
        <v>2.6643560283986085E-4</v>
      </c>
      <c r="E17" s="74">
        <f t="shared" si="10"/>
        <v>2.6643560283986085E-4</v>
      </c>
      <c r="F17" s="74">
        <f t="shared" si="10"/>
        <v>2.6643560283986085E-4</v>
      </c>
      <c r="G17" s="74">
        <f t="shared" si="10"/>
        <v>2.6643560283986085E-4</v>
      </c>
      <c r="H17" s="74">
        <f t="shared" si="10"/>
        <v>2.6643560283986085E-4</v>
      </c>
      <c r="I17" s="74">
        <f t="shared" si="10"/>
        <v>2.6643560283986085E-4</v>
      </c>
      <c r="J17" s="74">
        <f t="shared" si="10"/>
        <v>2.6643560283986085E-4</v>
      </c>
      <c r="K17" s="74">
        <f t="shared" si="10"/>
        <v>2.664356028398608E-4</v>
      </c>
      <c r="L17" s="74">
        <f t="shared" si="10"/>
        <v>2.6643560283986085E-4</v>
      </c>
      <c r="M17" s="74">
        <f t="shared" si="10"/>
        <v>2.6643560283986085E-4</v>
      </c>
      <c r="N17" s="74">
        <f t="shared" si="10"/>
        <v>2.6643560283986085E-4</v>
      </c>
      <c r="O17" s="74">
        <f t="shared" si="10"/>
        <v>2.6643560283986085E-4</v>
      </c>
      <c r="P17" s="74">
        <f t="shared" si="10"/>
        <v>2.6643560283986085E-4</v>
      </c>
      <c r="Q17" s="74">
        <f t="shared" si="10"/>
        <v>2.6643560283986085E-4</v>
      </c>
      <c r="R17" s="74">
        <f t="shared" si="10"/>
        <v>2.6643560283986085E-4</v>
      </c>
      <c r="S17" s="74">
        <f t="shared" si="10"/>
        <v>2.6643560283986085E-4</v>
      </c>
      <c r="T17" s="74">
        <f t="shared" si="10"/>
        <v>2.6643560283986091E-4</v>
      </c>
      <c r="U17" s="74">
        <f t="shared" si="10"/>
        <v>2.6643560283986091E-4</v>
      </c>
      <c r="V17" s="74">
        <f t="shared" si="10"/>
        <v>2.6643560283986091E-4</v>
      </c>
      <c r="W17" s="74">
        <f t="shared" si="10"/>
        <v>2.6643560283986091E-4</v>
      </c>
      <c r="X17" s="74">
        <f t="shared" si="10"/>
        <v>2.6643560283986091E-4</v>
      </c>
      <c r="Y17" s="74">
        <f t="shared" si="10"/>
        <v>2.6643560283986085E-4</v>
      </c>
      <c r="Z17" s="74">
        <f t="shared" si="10"/>
        <v>2.6643560283986091E-4</v>
      </c>
      <c r="AA17" s="74">
        <f t="shared" si="10"/>
        <v>2.6643560283986091E-4</v>
      </c>
      <c r="AB17" s="74">
        <f t="shared" si="10"/>
        <v>2.6643560283986085E-4</v>
      </c>
      <c r="AC17" s="74">
        <f t="shared" si="10"/>
        <v>2.6643560283986091E-4</v>
      </c>
      <c r="AD17" s="74">
        <f t="shared" si="10"/>
        <v>2.6643560283986091E-4</v>
      </c>
      <c r="AE17" s="74">
        <f t="shared" si="10"/>
        <v>2.6643560283986085E-4</v>
      </c>
      <c r="AF17" s="74">
        <f t="shared" si="10"/>
        <v>2.6643560283986091E-4</v>
      </c>
      <c r="AG17" s="74">
        <f t="shared" si="10"/>
        <v>6.5854548305952735E-4</v>
      </c>
      <c r="AH17" s="74">
        <f t="shared" si="10"/>
        <v>5.8340251783816569E-4</v>
      </c>
      <c r="AI17" s="74">
        <f t="shared" si="10"/>
        <v>4.8275927425205637E-4</v>
      </c>
      <c r="AJ17" s="74">
        <f t="shared" si="10"/>
        <v>4.3502633400544459E-4</v>
      </c>
      <c r="AK17" s="74">
        <f t="shared" si="10"/>
        <v>7.9428618704493461E-4</v>
      </c>
      <c r="AL17" s="74">
        <f t="shared" si="10"/>
        <v>4.8233606228821971E-4</v>
      </c>
      <c r="AM17" s="74">
        <f t="shared" si="10"/>
        <v>5.199565195715155E-4</v>
      </c>
      <c r="AN17" s="74">
        <f t="shared" si="10"/>
        <v>1.5255007395652727E-3</v>
      </c>
      <c r="AO17" s="74">
        <f t="shared" si="10"/>
        <v>8.8035139427923537E-4</v>
      </c>
      <c r="AP17" s="74">
        <f t="shared" si="10"/>
        <v>1.474628338169792E-3</v>
      </c>
      <c r="AQ17" s="74">
        <f t="shared" si="10"/>
        <v>1.4990558963227816E-3</v>
      </c>
      <c r="AR17" s="74">
        <f t="shared" si="10"/>
        <v>1.7249468077991964E-3</v>
      </c>
      <c r="AS17" s="74">
        <f t="shared" si="10"/>
        <v>1.2499701267734283E-3</v>
      </c>
      <c r="AT17" s="74">
        <f t="shared" si="10"/>
        <v>1.2769091416688892E-3</v>
      </c>
      <c r="AU17" s="74">
        <f>AU11/(AU12*1000)</f>
        <v>1.1215103737150641E-3</v>
      </c>
      <c r="AV17" s="74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1:60" x14ac:dyDescent="0.35">
      <c r="A18" s="1" t="s">
        <v>64</v>
      </c>
      <c r="B18" s="1"/>
      <c r="C18" s="73">
        <f>C11/B11-1</f>
        <v>-3.782838401024502E-2</v>
      </c>
      <c r="D18" s="73">
        <f t="shared" ref="D18:AU18" si="11">D11/C11-1</f>
        <v>0.15676559264775336</v>
      </c>
      <c r="E18" s="73">
        <f t="shared" si="11"/>
        <v>0.22152264434158386</v>
      </c>
      <c r="F18" s="73">
        <f t="shared" si="11"/>
        <v>0.69570244916951363</v>
      </c>
      <c r="G18" s="73">
        <f t="shared" si="11"/>
        <v>0.17159771476946362</v>
      </c>
      <c r="H18" s="73">
        <f t="shared" si="11"/>
        <v>0.175931690219852</v>
      </c>
      <c r="I18" s="73">
        <f t="shared" si="11"/>
        <v>0.21276269135211767</v>
      </c>
      <c r="J18" s="73">
        <f t="shared" si="11"/>
        <v>8.1274026157735602E-2</v>
      </c>
      <c r="K18" s="73">
        <f t="shared" si="11"/>
        <v>0.18894220396823402</v>
      </c>
      <c r="L18" s="73">
        <f t="shared" si="11"/>
        <v>0.26146774389236427</v>
      </c>
      <c r="M18" s="73">
        <f t="shared" si="11"/>
        <v>0.21973823784924496</v>
      </c>
      <c r="N18" s="73">
        <f t="shared" si="11"/>
        <v>-8.6237848339051237E-2</v>
      </c>
      <c r="O18" s="73">
        <f t="shared" si="11"/>
        <v>-0.13935728879585141</v>
      </c>
      <c r="P18" s="73">
        <f t="shared" si="11"/>
        <v>-1.3990279312710019E-2</v>
      </c>
      <c r="Q18" s="73">
        <f t="shared" si="11"/>
        <v>1.3988422428043767E-2</v>
      </c>
      <c r="R18" s="73">
        <f t="shared" si="11"/>
        <v>-0.10699985309967275</v>
      </c>
      <c r="S18" s="73">
        <f t="shared" si="11"/>
        <v>-8.9375684785385934E-2</v>
      </c>
      <c r="T18" s="73">
        <f t="shared" si="11"/>
        <v>-6.4074410705639351E-2</v>
      </c>
      <c r="U18" s="73">
        <f t="shared" si="11"/>
        <v>6.4277463027849091E-2</v>
      </c>
      <c r="V18" s="73">
        <f t="shared" si="11"/>
        <v>9.7074798133413909E-2</v>
      </c>
      <c r="W18" s="73">
        <f t="shared" si="11"/>
        <v>0.11476307107424621</v>
      </c>
      <c r="X18" s="73">
        <f t="shared" si="11"/>
        <v>6.5085237426694142E-2</v>
      </c>
      <c r="Y18" s="73">
        <f t="shared" si="11"/>
        <v>4.667116869266108E-2</v>
      </c>
      <c r="Z18" s="73">
        <f t="shared" si="11"/>
        <v>0.1990607867782177</v>
      </c>
      <c r="AA18" s="73">
        <f t="shared" si="11"/>
        <v>7.5927425613571353E-2</v>
      </c>
      <c r="AB18" s="73">
        <f t="shared" si="11"/>
        <v>3.2477080479534903E-2</v>
      </c>
      <c r="AC18" s="73">
        <f t="shared" si="11"/>
        <v>0.11637255500761889</v>
      </c>
      <c r="AD18" s="73">
        <f t="shared" si="11"/>
        <v>-6.3971216114609986E-3</v>
      </c>
      <c r="AE18" s="73">
        <f t="shared" si="11"/>
        <v>-0.29792920499661302</v>
      </c>
      <c r="AF18" s="73">
        <f t="shared" si="11"/>
        <v>-6.7064875009230751E-2</v>
      </c>
      <c r="AG18" s="73">
        <f t="shared" si="11"/>
        <v>2.301455417496086</v>
      </c>
      <c r="AH18" s="73">
        <f t="shared" si="11"/>
        <v>3.3637757376430821E-2</v>
      </c>
      <c r="AI18" s="73">
        <f t="shared" si="11"/>
        <v>-5.9935866388802217E-2</v>
      </c>
      <c r="AJ18" s="73">
        <f t="shared" si="11"/>
        <v>1.6674252081397833E-2</v>
      </c>
      <c r="AK18" s="73">
        <f t="shared" si="11"/>
        <v>1.071102406058376</v>
      </c>
      <c r="AL18" s="73">
        <f t="shared" si="11"/>
        <v>-0.31527637959316002</v>
      </c>
      <c r="AM18" s="73">
        <f t="shared" si="11"/>
        <v>0.174867447055016</v>
      </c>
      <c r="AN18" s="73">
        <f t="shared" si="11"/>
        <v>2.5525059496091558</v>
      </c>
      <c r="AO18" s="73">
        <f t="shared" si="11"/>
        <v>-0.41583624690491483</v>
      </c>
      <c r="AP18" s="73">
        <f t="shared" si="11"/>
        <v>0.86354711595808942</v>
      </c>
      <c r="AQ18" s="73">
        <f t="shared" si="11"/>
        <v>0.15864387867090368</v>
      </c>
      <c r="AR18" s="73">
        <f t="shared" si="11"/>
        <v>0.27621145481145071</v>
      </c>
      <c r="AS18" s="73">
        <f t="shared" si="11"/>
        <v>-0.21888863560798699</v>
      </c>
      <c r="AT18" s="73">
        <f t="shared" si="11"/>
        <v>8.7745111963086542E-2</v>
      </c>
      <c r="AU18" s="73">
        <f t="shared" si="11"/>
        <v>-0.12209604031320909</v>
      </c>
      <c r="AV18" s="2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 x14ac:dyDescent="0.35">
      <c r="A19" s="1" t="s">
        <v>65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>
        <f>V11/K11-1</f>
        <v>7.5068757022243693E-2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24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5">
        <v>1938199098.5</v>
      </c>
      <c r="AV19" s="75">
        <f>AU11/AU19</f>
        <v>5.8367964652110277E-2</v>
      </c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 x14ac:dyDescent="0.35">
      <c r="A20" s="1" t="s">
        <v>66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>
        <f>1990-1979</f>
        <v>11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24"/>
      <c r="AI20" s="1"/>
      <c r="AJ20" s="1"/>
      <c r="AK20" s="1"/>
      <c r="AL20" s="1"/>
      <c r="AM20" s="1"/>
      <c r="AN20" s="5">
        <v>14148922027.51</v>
      </c>
      <c r="AO20" s="1"/>
      <c r="AP20" s="1"/>
      <c r="AQ20" s="1"/>
      <c r="AR20" s="1"/>
      <c r="AS20" s="1"/>
      <c r="AT20" s="1"/>
      <c r="AU20" s="5">
        <v>35745414447.459999</v>
      </c>
      <c r="AV20" s="75">
        <f>AU11/AU20</f>
        <v>3.1648461269425487E-3</v>
      </c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3">
        <f>V19/V20</f>
        <v>6.8244324565676084E-3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25"/>
      <c r="AI21" s="1"/>
      <c r="AJ21" s="1"/>
      <c r="AK21" s="1"/>
      <c r="AL21" s="1"/>
      <c r="AM21" s="1"/>
      <c r="AN21" s="74">
        <f>AN11/AN20</f>
        <v>6.6590900131337514E-3</v>
      </c>
      <c r="AO21" s="1"/>
      <c r="AP21" s="1"/>
      <c r="AQ21" s="1"/>
      <c r="AR21" s="1"/>
      <c r="AS21" s="1"/>
      <c r="AU21" s="74">
        <f>0.05%-0.13%</f>
        <v>-7.9999999999999993E-4</v>
      </c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3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25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24">
        <f>AVERAGE(AF11:AM11)</f>
        <v>18911250.170434777</v>
      </c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x14ac:dyDescent="0.35">
      <c r="A23" s="1" t="s">
        <v>16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3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25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24">
        <f>AVERAGE(AN11:AU11)</f>
        <v>110348787.25375</v>
      </c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0" x14ac:dyDescent="0.35">
      <c r="A24" s="1" t="s">
        <v>17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26">
        <f>+'[2]08'!D25</f>
        <v>15162077.560000001</v>
      </c>
      <c r="AO24" s="1"/>
      <c r="AP24" s="1"/>
      <c r="AQ24" s="1"/>
      <c r="AR24" s="1"/>
      <c r="AS24" s="1"/>
      <c r="AT24" s="1"/>
      <c r="AU24" s="1">
        <f>AU23/AU22</f>
        <v>5.8350868535526876</v>
      </c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0" x14ac:dyDescent="0.35">
      <c r="A25" s="1" t="s">
        <v>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26">
        <f>+'[2]08'!C50</f>
        <v>20270357.300000001</v>
      </c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 t="s">
        <v>18</v>
      </c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ht="18" x14ac:dyDescent="0.4">
      <c r="A27" s="1" t="s">
        <v>19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27">
        <f>+AV28/(AU12*1000)</f>
        <v>2.6493105023741629E-3</v>
      </c>
      <c r="AW27" s="28" t="s">
        <v>19</v>
      </c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 x14ac:dyDescent="0.35">
      <c r="A28" s="29" t="s">
        <v>20</v>
      </c>
      <c r="B28" s="30">
        <f t="shared" ref="B28:AT28" si="12">+B12*$AV$27*1000</f>
        <v>7580027.0562787941</v>
      </c>
      <c r="C28" s="30">
        <f t="shared" si="12"/>
        <v>7293286.8819858329</v>
      </c>
      <c r="D28" s="30">
        <f t="shared" si="12"/>
        <v>8436623.3223904278</v>
      </c>
      <c r="E28" s="30">
        <f t="shared" si="12"/>
        <v>10305526.430080231</v>
      </c>
      <c r="F28" s="30">
        <f t="shared" si="12"/>
        <v>17475106.407468207</v>
      </c>
      <c r="G28" s="30">
        <f t="shared" si="12"/>
        <v>20473794.732342962</v>
      </c>
      <c r="H28" s="30">
        <f t="shared" si="12"/>
        <v>24075784.044818364</v>
      </c>
      <c r="I28" s="30">
        <f t="shared" si="12"/>
        <v>29198212.654606294</v>
      </c>
      <c r="J28" s="30">
        <f t="shared" si="12"/>
        <v>31571268.953655895</v>
      </c>
      <c r="K28" s="30">
        <f t="shared" si="12"/>
        <v>37536414.091833517</v>
      </c>
      <c r="L28" s="30">
        <f t="shared" si="12"/>
        <v>47350975.59823478</v>
      </c>
      <c r="M28" s="30">
        <f t="shared" si="12"/>
        <v>57755795.536633492</v>
      </c>
      <c r="N28" s="30">
        <f t="shared" si="12"/>
        <v>52775060.000444032</v>
      </c>
      <c r="O28" s="30">
        <f t="shared" si="12"/>
        <v>45420470.722743772</v>
      </c>
      <c r="P28" s="30">
        <f t="shared" si="12"/>
        <v>44785025.650817819</v>
      </c>
      <c r="Q28" s="30">
        <f t="shared" si="12"/>
        <v>45411497.508072227</v>
      </c>
      <c r="R28" s="30">
        <f t="shared" si="12"/>
        <v>40552473.945672341</v>
      </c>
      <c r="S28" s="30">
        <f t="shared" si="12"/>
        <v>36928068.817036361</v>
      </c>
      <c r="T28" s="30">
        <f t="shared" si="12"/>
        <v>34561924.569087453</v>
      </c>
      <c r="U28" s="30">
        <f t="shared" si="12"/>
        <v>36783477.397748284</v>
      </c>
      <c r="V28" s="30">
        <f t="shared" si="12"/>
        <v>40354226.040779687</v>
      </c>
      <c r="W28" s="30">
        <f t="shared" si="12"/>
        <v>44985400.952043884</v>
      </c>
      <c r="X28" s="30">
        <f t="shared" si="12"/>
        <v>47913286.45374269</v>
      </c>
      <c r="Y28" s="30">
        <f t="shared" si="12"/>
        <v>50149455.528445117</v>
      </c>
      <c r="Z28" s="30">
        <f t="shared" si="12"/>
        <v>60132245.602436632</v>
      </c>
      <c r="AA28" s="30">
        <f t="shared" si="12"/>
        <v>64697932.207392648</v>
      </c>
      <c r="AB28" s="30">
        <f t="shared" si="12"/>
        <v>66799132.158551626</v>
      </c>
      <c r="AC28" s="30">
        <f t="shared" si="12"/>
        <v>74572717.840133876</v>
      </c>
      <c r="AD28" s="30">
        <f t="shared" si="12"/>
        <v>74095667.095213354</v>
      </c>
      <c r="AE28" s="30">
        <f t="shared" si="12"/>
        <v>52020403.903842755</v>
      </c>
      <c r="AF28" s="30">
        <f t="shared" si="12"/>
        <v>48531662.018101841</v>
      </c>
      <c r="AG28" s="30">
        <f t="shared" si="12"/>
        <v>64824187.748693787</v>
      </c>
      <c r="AH28" s="30">
        <f t="shared" si="12"/>
        <v>75635019.820202351</v>
      </c>
      <c r="AI28" s="30">
        <f t="shared" si="12"/>
        <v>85924711.321409896</v>
      </c>
      <c r="AJ28" s="30">
        <f t="shared" si="12"/>
        <v>96942671.786615059</v>
      </c>
      <c r="AK28" s="30">
        <f t="shared" si="12"/>
        <v>109965156.21343708</v>
      </c>
      <c r="AL28" s="30">
        <f t="shared" si="12"/>
        <v>123993146.70177767</v>
      </c>
      <c r="AM28" s="30">
        <f t="shared" si="12"/>
        <v>135135439.30885926</v>
      </c>
      <c r="AN28" s="30">
        <f t="shared" si="12"/>
        <v>163628397.55980206</v>
      </c>
      <c r="AO28" s="30">
        <f t="shared" si="12"/>
        <v>165634060.72493491</v>
      </c>
      <c r="AP28" s="30">
        <f t="shared" si="12"/>
        <v>184273764.28958929</v>
      </c>
      <c r="AQ28" s="30">
        <f t="shared" si="12"/>
        <v>210028498.52838773</v>
      </c>
      <c r="AR28" s="30">
        <f t="shared" si="12"/>
        <v>232939417.83565921</v>
      </c>
      <c r="AS28" s="30">
        <f t="shared" si="12"/>
        <v>251091502.55579907</v>
      </c>
      <c r="AT28" s="30">
        <f t="shared" si="12"/>
        <v>267361453.51160026</v>
      </c>
      <c r="AU28" s="30">
        <f>+AU12*$AV$27*1000</f>
        <v>267240639.654071</v>
      </c>
      <c r="AV28" s="31">
        <v>267240639.654071</v>
      </c>
      <c r="AW28" s="31">
        <v>253632308.38978019</v>
      </c>
      <c r="AX28" s="31">
        <v>246854502.48930079</v>
      </c>
      <c r="AY28" s="31">
        <v>260319115.97046405</v>
      </c>
      <c r="AZ28" s="31">
        <v>282376450.13939774</v>
      </c>
      <c r="BA28" s="29"/>
      <c r="BB28" s="29"/>
      <c r="BC28" s="29"/>
      <c r="BD28" s="29"/>
      <c r="BE28" s="29"/>
      <c r="BF28" s="29"/>
      <c r="BG28" s="29"/>
      <c r="BH28" s="29"/>
    </row>
    <row r="29" spans="1:60" x14ac:dyDescent="0.35">
      <c r="A29" s="32"/>
      <c r="B29" s="76">
        <f>B28/(B12*1000)</f>
        <v>2.6493105023741633E-3</v>
      </c>
      <c r="C29" s="76">
        <f t="shared" ref="C29:AU29" si="13">C28/(C12*1000)</f>
        <v>2.6493105023741629E-3</v>
      </c>
      <c r="D29" s="76">
        <f t="shared" si="13"/>
        <v>2.6493105023741633E-3</v>
      </c>
      <c r="E29" s="76">
        <f t="shared" si="13"/>
        <v>2.6493105023741624E-3</v>
      </c>
      <c r="F29" s="76">
        <f t="shared" si="13"/>
        <v>2.6493105023741629E-3</v>
      </c>
      <c r="G29" s="76">
        <f t="shared" si="13"/>
        <v>2.6493105023741629E-3</v>
      </c>
      <c r="H29" s="76">
        <f t="shared" si="13"/>
        <v>2.6493105023741633E-3</v>
      </c>
      <c r="I29" s="76">
        <f t="shared" si="13"/>
        <v>2.6493105023741629E-3</v>
      </c>
      <c r="J29" s="76">
        <f t="shared" si="13"/>
        <v>2.6493105023741629E-3</v>
      </c>
      <c r="K29" s="76">
        <f t="shared" si="13"/>
        <v>2.6493105023741624E-3</v>
      </c>
      <c r="L29" s="76">
        <f t="shared" si="13"/>
        <v>2.6493105023741629E-3</v>
      </c>
      <c r="M29" s="76">
        <f t="shared" si="13"/>
        <v>2.6493105023741629E-3</v>
      </c>
      <c r="N29" s="76">
        <f t="shared" si="13"/>
        <v>2.6493105023741624E-3</v>
      </c>
      <c r="O29" s="76">
        <f t="shared" si="13"/>
        <v>2.6493105023741633E-3</v>
      </c>
      <c r="P29" s="76">
        <f t="shared" si="13"/>
        <v>2.6493105023741629E-3</v>
      </c>
      <c r="Q29" s="76">
        <f t="shared" si="13"/>
        <v>2.6493105023741629E-3</v>
      </c>
      <c r="R29" s="76">
        <f t="shared" si="13"/>
        <v>2.6493105023741629E-3</v>
      </c>
      <c r="S29" s="76">
        <f t="shared" si="13"/>
        <v>2.6493105023741633E-3</v>
      </c>
      <c r="T29" s="76">
        <f t="shared" si="13"/>
        <v>2.6493105023741629E-3</v>
      </c>
      <c r="U29" s="76">
        <f t="shared" si="13"/>
        <v>2.6493105023741633E-3</v>
      </c>
      <c r="V29" s="76">
        <f t="shared" si="13"/>
        <v>2.6493105023741629E-3</v>
      </c>
      <c r="W29" s="76">
        <f t="shared" si="13"/>
        <v>2.6493105023741629E-3</v>
      </c>
      <c r="X29" s="76">
        <f t="shared" si="13"/>
        <v>2.6493105023741629E-3</v>
      </c>
      <c r="Y29" s="76">
        <f t="shared" si="13"/>
        <v>2.6493105023741629E-3</v>
      </c>
      <c r="Z29" s="76">
        <f t="shared" si="13"/>
        <v>2.6493105023741629E-3</v>
      </c>
      <c r="AA29" s="76">
        <f t="shared" si="13"/>
        <v>2.6493105023741629E-3</v>
      </c>
      <c r="AB29" s="76">
        <f t="shared" si="13"/>
        <v>2.6493105023741633E-3</v>
      </c>
      <c r="AC29" s="76">
        <f t="shared" si="13"/>
        <v>2.6493105023741629E-3</v>
      </c>
      <c r="AD29" s="76">
        <f t="shared" si="13"/>
        <v>2.6493105023741624E-3</v>
      </c>
      <c r="AE29" s="76">
        <f t="shared" si="13"/>
        <v>2.6493105023741629E-3</v>
      </c>
      <c r="AF29" s="76">
        <f t="shared" si="13"/>
        <v>2.6493105023741629E-3</v>
      </c>
      <c r="AG29" s="76">
        <f t="shared" si="13"/>
        <v>2.6493105023741629E-3</v>
      </c>
      <c r="AH29" s="76">
        <f t="shared" si="13"/>
        <v>2.6493105023741629E-3</v>
      </c>
      <c r="AI29" s="76">
        <f t="shared" si="13"/>
        <v>2.6493105023741633E-3</v>
      </c>
      <c r="AJ29" s="76">
        <f t="shared" si="13"/>
        <v>2.6493105023741629E-3</v>
      </c>
      <c r="AK29" s="76">
        <f t="shared" si="13"/>
        <v>2.6493105023741629E-3</v>
      </c>
      <c r="AL29" s="76">
        <f t="shared" si="13"/>
        <v>2.6493105023741629E-3</v>
      </c>
      <c r="AM29" s="76">
        <f t="shared" si="13"/>
        <v>2.6493105023741624E-3</v>
      </c>
      <c r="AN29" s="76">
        <f t="shared" si="13"/>
        <v>2.6493105023741629E-3</v>
      </c>
      <c r="AO29" s="76">
        <f t="shared" si="13"/>
        <v>2.6493105023741629E-3</v>
      </c>
      <c r="AP29" s="76">
        <f t="shared" si="13"/>
        <v>2.6493105023741633E-3</v>
      </c>
      <c r="AQ29" s="76">
        <f t="shared" si="13"/>
        <v>2.6493105023741629E-3</v>
      </c>
      <c r="AR29" s="76">
        <f t="shared" si="13"/>
        <v>2.6493105023741629E-3</v>
      </c>
      <c r="AS29" s="76">
        <f t="shared" si="13"/>
        <v>2.6493105023741629E-3</v>
      </c>
      <c r="AT29" s="76">
        <f t="shared" si="13"/>
        <v>2.6493105023741624E-3</v>
      </c>
      <c r="AU29" s="76">
        <f t="shared" si="13"/>
        <v>2.6493105023741629E-3</v>
      </c>
      <c r="AV29" s="76"/>
      <c r="AW29" s="34"/>
      <c r="AX29" s="34"/>
      <c r="AY29" s="34"/>
      <c r="AZ29" s="34"/>
      <c r="BA29" s="35"/>
      <c r="BB29" s="35"/>
      <c r="BC29" s="35"/>
      <c r="BD29" s="35"/>
      <c r="BE29" s="35"/>
      <c r="BF29" s="35"/>
      <c r="BG29" s="35"/>
      <c r="BH29" s="35"/>
    </row>
    <row r="30" spans="1:60" x14ac:dyDescent="0.35">
      <c r="A30" s="36" t="s">
        <v>21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4"/>
      <c r="AW30" s="34"/>
      <c r="AX30" s="34"/>
      <c r="AY30" s="34"/>
      <c r="AZ30" s="34"/>
      <c r="BA30" s="35"/>
      <c r="BB30" s="35"/>
      <c r="BC30" s="35"/>
      <c r="BD30" s="35"/>
      <c r="BE30" s="35"/>
      <c r="BF30" s="35"/>
      <c r="BG30" s="35"/>
      <c r="BH30" s="35"/>
    </row>
    <row r="31" spans="1:60" x14ac:dyDescent="0.35">
      <c r="A31" s="36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4"/>
      <c r="AW31" s="34"/>
      <c r="AX31" s="34"/>
      <c r="AY31" s="34"/>
      <c r="AZ31" s="34"/>
      <c r="BA31" s="35"/>
      <c r="BB31" s="35"/>
      <c r="BC31" s="35"/>
      <c r="BD31" s="35"/>
      <c r="BE31" s="35"/>
      <c r="BF31" s="35"/>
      <c r="BG31" s="35"/>
      <c r="BH31" s="35"/>
    </row>
    <row r="32" spans="1:60" x14ac:dyDescent="0.35">
      <c r="A32" s="35" t="s">
        <v>22</v>
      </c>
      <c r="B32" s="37">
        <f>+(B33/(B12*1000))*100</f>
        <v>0.23828748995343021</v>
      </c>
      <c r="C32" s="37">
        <f t="shared" ref="C32:J32" si="14">+(C33/(C12*1000))*100</f>
        <v>0.48594340288359034</v>
      </c>
      <c r="D32" s="37">
        <f t="shared" si="14"/>
        <v>0.6583755406113867</v>
      </c>
      <c r="E32" s="37">
        <f t="shared" si="14"/>
        <v>0.77726688887096684</v>
      </c>
      <c r="F32" s="37">
        <f t="shared" si="14"/>
        <v>0.69666206460338753</v>
      </c>
      <c r="G32" s="37">
        <f t="shared" si="14"/>
        <v>0.83291315012763967</v>
      </c>
      <c r="H32" s="37">
        <f t="shared" si="14"/>
        <v>0.94658811409250621</v>
      </c>
      <c r="I32" s="37">
        <f t="shared" si="14"/>
        <v>1.0188096158749891</v>
      </c>
      <c r="J32" s="37">
        <f t="shared" si="14"/>
        <v>1.1805182207657559</v>
      </c>
      <c r="K32" s="37">
        <f>+(K33/(K12*1000))*100</f>
        <v>1.2312022143409049</v>
      </c>
      <c r="L32" s="37">
        <f t="shared" ref="L32:AU32" si="15">+(L33/(L12*1000))*100</f>
        <v>1.2142951764773262</v>
      </c>
      <c r="M32" s="37">
        <f t="shared" si="15"/>
        <v>1.233825006772189</v>
      </c>
      <c r="N32" s="37">
        <f t="shared" si="15"/>
        <v>1.5885568182785976</v>
      </c>
      <c r="O32" s="37">
        <f t="shared" si="15"/>
        <v>2.0840671585641188</v>
      </c>
      <c r="P32" s="37">
        <f t="shared" si="15"/>
        <v>2.3519250280412258</v>
      </c>
      <c r="Q32" s="37">
        <f t="shared" si="15"/>
        <v>2.5577666635020089</v>
      </c>
      <c r="R32" s="37">
        <f t="shared" si="15"/>
        <v>3.1025274034408081</v>
      </c>
      <c r="S32" s="37">
        <f t="shared" si="15"/>
        <v>3.6453208313699843</v>
      </c>
      <c r="T32" s="37">
        <f t="shared" si="15"/>
        <v>4.133170665568243</v>
      </c>
      <c r="U32" s="37">
        <f t="shared" si="15"/>
        <v>4.1218336601499237</v>
      </c>
      <c r="V32" s="37">
        <f t="shared" si="15"/>
        <v>3.9954001929003016</v>
      </c>
      <c r="W32" s="37">
        <f t="shared" si="15"/>
        <v>3.8223676380786427</v>
      </c>
      <c r="X32" s="37">
        <f t="shared" si="15"/>
        <v>3.8270778550454279</v>
      </c>
      <c r="Y32" s="37">
        <f t="shared" si="15"/>
        <v>3.8947155731169492</v>
      </c>
      <c r="Z32" s="37">
        <f t="shared" si="15"/>
        <v>3.4864260464495902</v>
      </c>
      <c r="AA32" s="37">
        <f t="shared" si="15"/>
        <v>3.4786789545184114</v>
      </c>
      <c r="AB32" s="37">
        <f t="shared" si="15"/>
        <v>3.6075428664531546</v>
      </c>
      <c r="AC32" s="37">
        <f t="shared" si="15"/>
        <v>3.4697740132212247</v>
      </c>
      <c r="AD32" s="37">
        <f t="shared" si="15"/>
        <v>3.7304009778376739</v>
      </c>
      <c r="AE32" s="37">
        <f t="shared" si="15"/>
        <v>5.5517131507084487</v>
      </c>
      <c r="AF32" s="37">
        <f t="shared" si="15"/>
        <v>6.1890905007880574</v>
      </c>
      <c r="AG32" s="37">
        <f t="shared" si="15"/>
        <v>4.832637813152723</v>
      </c>
      <c r="AH32" s="37">
        <f t="shared" si="15"/>
        <v>4.3484793266241608</v>
      </c>
      <c r="AI32" s="37">
        <f t="shared" si="15"/>
        <v>4.0443935579951411</v>
      </c>
      <c r="AJ32" s="37">
        <f t="shared" si="15"/>
        <v>3.8061588821352679</v>
      </c>
      <c r="AK32" s="37">
        <f t="shared" si="15"/>
        <v>3.5409217660208228</v>
      </c>
      <c r="AL32" s="37">
        <f t="shared" si="15"/>
        <v>3.3570162882149797</v>
      </c>
      <c r="AM32" s="37">
        <f t="shared" si="15"/>
        <v>3.2931563620316191</v>
      </c>
      <c r="AN32" s="37">
        <f t="shared" si="15"/>
        <v>2.8320930698572089</v>
      </c>
      <c r="AO32" s="37">
        <f t="shared" si="15"/>
        <v>2.9746951601470584</v>
      </c>
      <c r="AP32" s="37">
        <f t="shared" si="15"/>
        <v>2.7912663053315887</v>
      </c>
      <c r="AQ32" s="37">
        <f t="shared" si="15"/>
        <v>2.5640128733710523</v>
      </c>
      <c r="AR32" s="37">
        <f t="shared" si="15"/>
        <v>2.4042639639675287</v>
      </c>
      <c r="AS32" s="37">
        <f t="shared" si="15"/>
        <v>2.3703872483985933</v>
      </c>
      <c r="AT32" s="37">
        <f t="shared" si="15"/>
        <v>2.363380396838092</v>
      </c>
      <c r="AU32" s="37">
        <f t="shared" si="15"/>
        <v>2.5172288441416706</v>
      </c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</row>
    <row r="33" spans="1:60" x14ac:dyDescent="0.35">
      <c r="A33" s="38" t="s">
        <v>23</v>
      </c>
      <c r="B33" s="39">
        <f>-B34</f>
        <v>6817719.6270543775</v>
      </c>
      <c r="C33" s="40">
        <f>+B33-C34</f>
        <v>13377535.937982358</v>
      </c>
      <c r="D33" s="40">
        <f t="shared" ref="D33:AU33" si="16">+C33-D34</f>
        <v>20965705.740553364</v>
      </c>
      <c r="E33" s="40">
        <f t="shared" si="16"/>
        <v>30234826.98350285</v>
      </c>
      <c r="F33" s="40">
        <f t="shared" si="16"/>
        <v>45952498.576821461</v>
      </c>
      <c r="G33" s="40">
        <f t="shared" si="16"/>
        <v>64367286.69705046</v>
      </c>
      <c r="H33" s="40">
        <f t="shared" si="16"/>
        <v>86021819.616311803</v>
      </c>
      <c r="I33" s="40">
        <f t="shared" si="16"/>
        <v>112283629.23944822</v>
      </c>
      <c r="J33" s="40">
        <f t="shared" si="16"/>
        <v>140679841.86484489</v>
      </c>
      <c r="K33" s="40">
        <f t="shared" si="16"/>
        <v>174441297.48803461</v>
      </c>
      <c r="L33" s="40">
        <f t="shared" si="16"/>
        <v>217030284.7435419</v>
      </c>
      <c r="M33" s="40">
        <f t="shared" si="16"/>
        <v>268977701.01035833</v>
      </c>
      <c r="N33" s="40">
        <f t="shared" si="16"/>
        <v>316445283.87155151</v>
      </c>
      <c r="O33" s="40">
        <f t="shared" si="16"/>
        <v>357297913.07951635</v>
      </c>
      <c r="P33" s="40">
        <f t="shared" si="16"/>
        <v>397579002.59420323</v>
      </c>
      <c r="Q33" s="40">
        <f t="shared" si="16"/>
        <v>438423561.00488335</v>
      </c>
      <c r="R33" s="40">
        <f t="shared" si="16"/>
        <v>474897757.66569972</v>
      </c>
      <c r="S33" s="40">
        <f t="shared" si="16"/>
        <v>508112048.02295876</v>
      </c>
      <c r="T33" s="40">
        <f t="shared" si="16"/>
        <v>539198152.29857039</v>
      </c>
      <c r="U33" s="40">
        <f t="shared" si="16"/>
        <v>572282392.4924376</v>
      </c>
      <c r="V33" s="40">
        <f t="shared" si="16"/>
        <v>608578278.62452185</v>
      </c>
      <c r="W33" s="40">
        <f t="shared" si="16"/>
        <v>649039592.11648512</v>
      </c>
      <c r="X33" s="40">
        <f t="shared" si="16"/>
        <v>692134339.80366874</v>
      </c>
      <c r="Y33" s="40">
        <f t="shared" si="16"/>
        <v>737240369.72992861</v>
      </c>
      <c r="Z33" s="40">
        <f t="shared" si="16"/>
        <v>791325241.46175158</v>
      </c>
      <c r="AA33" s="40">
        <f t="shared" si="16"/>
        <v>849516638.26881218</v>
      </c>
      <c r="AB33" s="40">
        <f t="shared" si="16"/>
        <v>909597921.75319219</v>
      </c>
      <c r="AC33" s="40">
        <f t="shared" si="16"/>
        <v>976671017.70478654</v>
      </c>
      <c r="AD33" s="40">
        <f t="shared" si="16"/>
        <v>1043315038.9047214</v>
      </c>
      <c r="AE33" s="40">
        <f t="shared" si="16"/>
        <v>1090103859.8507822</v>
      </c>
      <c r="AF33" s="40">
        <f t="shared" si="16"/>
        <v>1133754794.3682661</v>
      </c>
      <c r="AG33" s="40">
        <f t="shared" si="16"/>
        <v>1182465477.8687229</v>
      </c>
      <c r="AH33" s="40">
        <f t="shared" si="16"/>
        <v>1241444971.294302</v>
      </c>
      <c r="AI33" s="40">
        <f t="shared" si="16"/>
        <v>1311712419.6257119</v>
      </c>
      <c r="AJ33" s="40">
        <f t="shared" si="16"/>
        <v>1392736755.2723269</v>
      </c>
      <c r="AK33" s="40">
        <f t="shared" si="16"/>
        <v>1469733407.2057641</v>
      </c>
      <c r="AL33" s="40">
        <f t="shared" si="16"/>
        <v>1571152240.2975416</v>
      </c>
      <c r="AM33" s="40">
        <f t="shared" si="16"/>
        <v>1679765853.4064009</v>
      </c>
      <c r="AN33" s="40">
        <f t="shared" si="16"/>
        <v>1749175305.5962031</v>
      </c>
      <c r="AO33" s="40">
        <f t="shared" si="16"/>
        <v>1859770073.5811379</v>
      </c>
      <c r="AP33" s="40">
        <f t="shared" si="16"/>
        <v>1941475522.6207271</v>
      </c>
      <c r="AQ33" s="40">
        <f t="shared" si="16"/>
        <v>2032663870.5391147</v>
      </c>
      <c r="AR33" s="40">
        <f t="shared" si="16"/>
        <v>2113938126.874774</v>
      </c>
      <c r="AS33" s="40">
        <f t="shared" si="16"/>
        <v>2246562248.200573</v>
      </c>
      <c r="AT33" s="40">
        <f t="shared" si="16"/>
        <v>2385061386.8521733</v>
      </c>
      <c r="AU33" s="41">
        <f t="shared" si="16"/>
        <v>2539173290.0362444</v>
      </c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</row>
    <row r="34" spans="1:60" x14ac:dyDescent="0.35">
      <c r="A34" s="42" t="s">
        <v>24</v>
      </c>
      <c r="B34" s="43">
        <f t="shared" ref="B34:U34" si="17">B11-B28</f>
        <v>-6817719.6270543775</v>
      </c>
      <c r="C34" s="43">
        <f t="shared" si="17"/>
        <v>-6559816.3109279796</v>
      </c>
      <c r="D34" s="43">
        <f t="shared" si="17"/>
        <v>-7588169.8025710043</v>
      </c>
      <c r="E34" s="43">
        <f t="shared" si="17"/>
        <v>-9269121.2429494858</v>
      </c>
      <c r="F34" s="43">
        <f t="shared" si="17"/>
        <v>-15717671.593318611</v>
      </c>
      <c r="G34" s="43">
        <f t="shared" si="17"/>
        <v>-18414788.120228998</v>
      </c>
      <c r="H34" s="43">
        <f t="shared" si="17"/>
        <v>-21654532.91926134</v>
      </c>
      <c r="I34" s="43">
        <f t="shared" si="17"/>
        <v>-26261809.623136416</v>
      </c>
      <c r="J34" s="43">
        <f t="shared" si="17"/>
        <v>-28396212.625396676</v>
      </c>
      <c r="K34" s="43">
        <f t="shared" si="17"/>
        <v>-33761455.623189718</v>
      </c>
      <c r="L34" s="43">
        <f t="shared" si="17"/>
        <v>-42588987.255507305</v>
      </c>
      <c r="M34" s="43">
        <f t="shared" si="17"/>
        <v>-51947416.266816437</v>
      </c>
      <c r="N34" s="43">
        <f t="shared" si="17"/>
        <v>-47467582.86119315</v>
      </c>
      <c r="O34" s="43">
        <f t="shared" si="17"/>
        <v>-40852629.207964852</v>
      </c>
      <c r="P34" s="43">
        <f t="shared" si="17"/>
        <v>-40281089.514686853</v>
      </c>
      <c r="Q34" s="43">
        <f t="shared" si="17"/>
        <v>-40844558.41068013</v>
      </c>
      <c r="R34" s="43">
        <f t="shared" si="17"/>
        <v>-36474196.660816349</v>
      </c>
      <c r="S34" s="43">
        <f t="shared" si="17"/>
        <v>-33214290.357259057</v>
      </c>
      <c r="T34" s="43">
        <f t="shared" si="17"/>
        <v>-31086104.27561168</v>
      </c>
      <c r="U34" s="43">
        <f t="shared" si="17"/>
        <v>-33084240.193867173</v>
      </c>
      <c r="V34" s="43">
        <f>V11-V28</f>
        <v>-36295886.132084206</v>
      </c>
      <c r="W34" s="43">
        <f t="shared" ref="W34:AV34" si="18">W11-W28</f>
        <v>-40461313.491963327</v>
      </c>
      <c r="X34" s="43">
        <f t="shared" si="18"/>
        <v>-43094747.687183663</v>
      </c>
      <c r="Y34" s="43">
        <f t="shared" si="18"/>
        <v>-45106029.92625989</v>
      </c>
      <c r="Z34" s="43">
        <f t="shared" si="18"/>
        <v>-54084871.731823005</v>
      </c>
      <c r="AA34" s="43">
        <f t="shared" si="18"/>
        <v>-58191396.807060547</v>
      </c>
      <c r="AB34" s="43">
        <f t="shared" si="18"/>
        <v>-60081283.484379999</v>
      </c>
      <c r="AC34" s="43">
        <f t="shared" si="18"/>
        <v>-67073095.951594353</v>
      </c>
      <c r="AD34" s="43">
        <f t="shared" si="18"/>
        <v>-66644021.199934788</v>
      </c>
      <c r="AE34" s="43">
        <f t="shared" si="18"/>
        <v>-46788820.946060807</v>
      </c>
      <c r="AF34" s="43">
        <f t="shared" si="18"/>
        <v>-43650934.517483965</v>
      </c>
      <c r="AG34" s="43">
        <f t="shared" si="18"/>
        <v>-48710683.500456758</v>
      </c>
      <c r="AH34" s="43">
        <f t="shared" si="18"/>
        <v>-58979493.425579041</v>
      </c>
      <c r="AI34" s="43">
        <f t="shared" si="18"/>
        <v>-70267448.331409901</v>
      </c>
      <c r="AJ34" s="43">
        <f t="shared" si="18"/>
        <v>-81024335.646615058</v>
      </c>
      <c r="AK34" s="43">
        <f t="shared" si="18"/>
        <v>-76996651.933437079</v>
      </c>
      <c r="AL34" s="43">
        <f t="shared" si="18"/>
        <v>-101418833.09177767</v>
      </c>
      <c r="AM34" s="43">
        <f t="shared" si="18"/>
        <v>-108613613.10885926</v>
      </c>
      <c r="AN34" s="43">
        <f t="shared" si="18"/>
        <v>-69409452.189802065</v>
      </c>
      <c r="AO34" s="43">
        <f t="shared" si="18"/>
        <v>-110594767.98493491</v>
      </c>
      <c r="AP34" s="43">
        <f t="shared" si="18"/>
        <v>-81705449.039589286</v>
      </c>
      <c r="AQ34" s="43">
        <f t="shared" si="18"/>
        <v>-91188347.918387726</v>
      </c>
      <c r="AR34" s="43">
        <f t="shared" si="18"/>
        <v>-81274256.335659206</v>
      </c>
      <c r="AS34" s="43">
        <f t="shared" si="18"/>
        <v>-132624121.32579906</v>
      </c>
      <c r="AT34" s="43">
        <f t="shared" si="18"/>
        <v>-138499138.65160024</v>
      </c>
      <c r="AU34" s="43">
        <f t="shared" si="18"/>
        <v>-154111903.184071</v>
      </c>
      <c r="AV34" s="44">
        <f t="shared" si="18"/>
        <v>-232639548.23407102</v>
      </c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</row>
    <row r="35" spans="1:60" x14ac:dyDescent="0.35">
      <c r="A35" s="1" t="s">
        <v>25</v>
      </c>
      <c r="B35" s="45">
        <f t="shared" ref="B35:U35" si="19">+B34/(B12*1000)</f>
        <v>-2.3828748995343022E-3</v>
      </c>
      <c r="C35" s="45">
        <f t="shared" si="19"/>
        <v>-2.3828748995343017E-3</v>
      </c>
      <c r="D35" s="45">
        <f t="shared" si="19"/>
        <v>-2.3828748995343022E-3</v>
      </c>
      <c r="E35" s="45">
        <f t="shared" si="19"/>
        <v>-2.3828748995343017E-3</v>
      </c>
      <c r="F35" s="45">
        <f t="shared" si="19"/>
        <v>-2.3828748995343022E-3</v>
      </c>
      <c r="G35" s="45">
        <f t="shared" si="19"/>
        <v>-2.3828748995343017E-3</v>
      </c>
      <c r="H35" s="45">
        <f t="shared" si="19"/>
        <v>-2.3828748995343022E-3</v>
      </c>
      <c r="I35" s="45">
        <f t="shared" si="19"/>
        <v>-2.3828748995343022E-3</v>
      </c>
      <c r="J35" s="45">
        <f t="shared" si="19"/>
        <v>-2.3828748995343022E-3</v>
      </c>
      <c r="K35" s="45">
        <f t="shared" si="19"/>
        <v>-2.3828748995343022E-3</v>
      </c>
      <c r="L35" s="45">
        <f t="shared" si="19"/>
        <v>-2.3828748995343017E-3</v>
      </c>
      <c r="M35" s="45">
        <f t="shared" si="19"/>
        <v>-2.3828748995343017E-3</v>
      </c>
      <c r="N35" s="45">
        <f t="shared" si="19"/>
        <v>-2.3828748995343017E-3</v>
      </c>
      <c r="O35" s="45">
        <f t="shared" si="19"/>
        <v>-2.3828748995343022E-3</v>
      </c>
      <c r="P35" s="45">
        <f t="shared" si="19"/>
        <v>-2.3828748995343022E-3</v>
      </c>
      <c r="Q35" s="45">
        <f t="shared" si="19"/>
        <v>-2.3828748995343022E-3</v>
      </c>
      <c r="R35" s="45">
        <f t="shared" si="19"/>
        <v>-2.3828748995343017E-3</v>
      </c>
      <c r="S35" s="45">
        <f t="shared" si="19"/>
        <v>-2.3828748995343022E-3</v>
      </c>
      <c r="T35" s="45">
        <f t="shared" si="19"/>
        <v>-2.3828748995343022E-3</v>
      </c>
      <c r="U35" s="45">
        <f t="shared" si="19"/>
        <v>-2.3828748995343022E-3</v>
      </c>
      <c r="V35" s="45">
        <f>+V34/(V12*1000)</f>
        <v>-2.3828748995343022E-3</v>
      </c>
      <c r="W35" s="45">
        <f t="shared" ref="W35:AU35" si="20">+W34/(W12*1000)</f>
        <v>-2.3828748995343017E-3</v>
      </c>
      <c r="X35" s="45">
        <f t="shared" si="20"/>
        <v>-2.3828748995343022E-3</v>
      </c>
      <c r="Y35" s="45">
        <f t="shared" si="20"/>
        <v>-2.3828748995343022E-3</v>
      </c>
      <c r="Z35" s="45">
        <f t="shared" si="20"/>
        <v>-2.3828748995343022E-3</v>
      </c>
      <c r="AA35" s="45">
        <f t="shared" si="20"/>
        <v>-2.3828748995343022E-3</v>
      </c>
      <c r="AB35" s="45">
        <f t="shared" si="20"/>
        <v>-2.3828748995343022E-3</v>
      </c>
      <c r="AC35" s="45">
        <f t="shared" si="20"/>
        <v>-2.3828748995343022E-3</v>
      </c>
      <c r="AD35" s="45">
        <f t="shared" si="20"/>
        <v>-2.3828748995343013E-3</v>
      </c>
      <c r="AE35" s="45">
        <f t="shared" si="20"/>
        <v>-2.3828748995343017E-3</v>
      </c>
      <c r="AF35" s="45">
        <f t="shared" si="20"/>
        <v>-2.3828748995343022E-3</v>
      </c>
      <c r="AG35" s="45">
        <f t="shared" si="20"/>
        <v>-1.9907650193146356E-3</v>
      </c>
      <c r="AH35" s="45">
        <f t="shared" si="20"/>
        <v>-2.0659079845359975E-3</v>
      </c>
      <c r="AI35" s="45">
        <f t="shared" si="20"/>
        <v>-2.1665512281221068E-3</v>
      </c>
      <c r="AJ35" s="45">
        <f t="shared" si="20"/>
        <v>-2.2142841683687182E-3</v>
      </c>
      <c r="AK35" s="45">
        <f t="shared" si="20"/>
        <v>-1.8550243153292283E-3</v>
      </c>
      <c r="AL35" s="45">
        <f t="shared" si="20"/>
        <v>-2.1669744400859428E-3</v>
      </c>
      <c r="AM35" s="45">
        <f t="shared" si="20"/>
        <v>-2.1293539828026471E-3</v>
      </c>
      <c r="AN35" s="45">
        <f t="shared" si="20"/>
        <v>-1.1238097628088902E-3</v>
      </c>
      <c r="AO35" s="45">
        <f t="shared" si="20"/>
        <v>-1.7689591080949272E-3</v>
      </c>
      <c r="AP35" s="45">
        <f t="shared" si="20"/>
        <v>-1.174682164204371E-3</v>
      </c>
      <c r="AQ35" s="45">
        <f t="shared" si="20"/>
        <v>-1.1502546060513812E-3</v>
      </c>
      <c r="AR35" s="45">
        <f t="shared" si="20"/>
        <v>-9.2436369457496654E-4</v>
      </c>
      <c r="AS35" s="45">
        <f t="shared" si="20"/>
        <v>-1.3993403756007345E-3</v>
      </c>
      <c r="AT35" s="45">
        <f t="shared" si="20"/>
        <v>-1.3724013607052732E-3</v>
      </c>
      <c r="AU35" s="45">
        <f t="shared" si="20"/>
        <v>-1.5278001286590985E-3</v>
      </c>
      <c r="AV35" s="45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1:60" x14ac:dyDescent="0.35">
      <c r="A36" s="1" t="s">
        <v>26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>
        <v>100</v>
      </c>
      <c r="W36" s="46">
        <f>+W35*$V$36/$V$35</f>
        <v>99.999999999999986</v>
      </c>
      <c r="X36" s="46">
        <f t="shared" ref="X36:AU36" si="21">+X35*$V$36/$V$35</f>
        <v>100</v>
      </c>
      <c r="Y36" s="46">
        <f t="shared" si="21"/>
        <v>100</v>
      </c>
      <c r="Z36" s="46">
        <f t="shared" si="21"/>
        <v>100</v>
      </c>
      <c r="AA36" s="46">
        <f t="shared" si="21"/>
        <v>100</v>
      </c>
      <c r="AB36" s="46">
        <f t="shared" si="21"/>
        <v>100</v>
      </c>
      <c r="AC36" s="46">
        <f t="shared" si="21"/>
        <v>100</v>
      </c>
      <c r="AD36" s="46">
        <f t="shared" si="21"/>
        <v>99.999999999999957</v>
      </c>
      <c r="AE36" s="46">
        <f t="shared" si="21"/>
        <v>99.999999999999986</v>
      </c>
      <c r="AF36" s="46">
        <f t="shared" si="21"/>
        <v>100</v>
      </c>
      <c r="AG36" s="46">
        <f t="shared" si="21"/>
        <v>83.544672013780556</v>
      </c>
      <c r="AH36" s="46">
        <f t="shared" si="21"/>
        <v>86.69813026859903</v>
      </c>
      <c r="AI36" s="46">
        <f t="shared" si="21"/>
        <v>90.921736115711624</v>
      </c>
      <c r="AJ36" s="46">
        <f t="shared" si="21"/>
        <v>92.924902134034284</v>
      </c>
      <c r="AK36" s="46">
        <f t="shared" si="21"/>
        <v>77.848162137750734</v>
      </c>
      <c r="AL36" s="46">
        <f t="shared" si="21"/>
        <v>90.939496677288687</v>
      </c>
      <c r="AM36" s="46">
        <f t="shared" si="21"/>
        <v>89.360712273178834</v>
      </c>
      <c r="AN36" s="46">
        <f t="shared" si="21"/>
        <v>47.161928770516752</v>
      </c>
      <c r="AO36" s="46">
        <f t="shared" si="21"/>
        <v>74.236339828022196</v>
      </c>
      <c r="AP36" s="46">
        <f t="shared" si="21"/>
        <v>49.296845773730936</v>
      </c>
      <c r="AQ36" s="46">
        <f t="shared" si="21"/>
        <v>48.271716080276882</v>
      </c>
      <c r="AR36" s="46">
        <f t="shared" si="21"/>
        <v>38.791952307509717</v>
      </c>
      <c r="AS36" s="46">
        <f t="shared" si="21"/>
        <v>58.724877914246143</v>
      </c>
      <c r="AT36" s="46">
        <f t="shared" si="21"/>
        <v>57.594352140495872</v>
      </c>
      <c r="AU36" s="46">
        <f t="shared" si="21"/>
        <v>64.11583457267038</v>
      </c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x14ac:dyDescent="0.35">
      <c r="A37" s="47" t="s">
        <v>27</v>
      </c>
      <c r="B37" s="48">
        <f>+B33/$B$33*100</f>
        <v>100</v>
      </c>
      <c r="C37" s="48">
        <f t="shared" ref="C37:AU37" si="22">+C33/$B$33*100</f>
        <v>196.21716159897551</v>
      </c>
      <c r="D37" s="48">
        <f t="shared" si="22"/>
        <v>307.51786355889908</v>
      </c>
      <c r="E37" s="48">
        <f t="shared" si="22"/>
        <v>443.47419133405941</v>
      </c>
      <c r="F37" s="48">
        <f t="shared" si="22"/>
        <v>674.01566932249193</v>
      </c>
      <c r="G37" s="48">
        <f t="shared" si="22"/>
        <v>944.11753809331401</v>
      </c>
      <c r="H37" s="48">
        <f t="shared" si="22"/>
        <v>1261.7388851685278</v>
      </c>
      <c r="I37" s="48">
        <f t="shared" si="22"/>
        <v>1646.9382048783486</v>
      </c>
      <c r="J37" s="48">
        <f t="shared" si="22"/>
        <v>2063.4442241742081</v>
      </c>
      <c r="K37" s="48">
        <f t="shared" si="22"/>
        <v>2558.6458087218625</v>
      </c>
      <c r="L37" s="48">
        <f t="shared" si="22"/>
        <v>3183.3266343531159</v>
      </c>
      <c r="M37" s="48">
        <f t="shared" si="22"/>
        <v>3945.2737238267923</v>
      </c>
      <c r="N37" s="48">
        <f t="shared" si="22"/>
        <v>4641.5121357560574</v>
      </c>
      <c r="O37" s="48">
        <f t="shared" si="22"/>
        <v>5240.72465024333</v>
      </c>
      <c r="P37" s="48">
        <f t="shared" si="22"/>
        <v>5831.5540142852551</v>
      </c>
      <c r="Q37" s="48">
        <f t="shared" si="22"/>
        <v>6430.6481490542892</v>
      </c>
      <c r="R37" s="48">
        <f t="shared" si="22"/>
        <v>6965.6392994101634</v>
      </c>
      <c r="S37" s="48">
        <f t="shared" si="22"/>
        <v>7452.8152493488578</v>
      </c>
      <c r="T37" s="48">
        <f t="shared" si="22"/>
        <v>7908.7756873852713</v>
      </c>
      <c r="U37" s="48">
        <f t="shared" si="22"/>
        <v>8394.0441056197324</v>
      </c>
      <c r="V37" s="48">
        <f t="shared" si="22"/>
        <v>8926.4198575948249</v>
      </c>
      <c r="W37" s="48">
        <f t="shared" si="22"/>
        <v>9519.892685832041</v>
      </c>
      <c r="X37" s="48">
        <f t="shared" si="22"/>
        <v>10151.991834001365</v>
      </c>
      <c r="Y37" s="48">
        <f t="shared" si="22"/>
        <v>10813.59178814539</v>
      </c>
      <c r="Z37" s="48">
        <f t="shared" si="22"/>
        <v>11606.890349693755</v>
      </c>
      <c r="AA37" s="48">
        <f t="shared" si="22"/>
        <v>12460.422028763438</v>
      </c>
      <c r="AB37" s="48">
        <f t="shared" si="22"/>
        <v>13341.6739248661</v>
      </c>
      <c r="AC37" s="48">
        <f t="shared" si="22"/>
        <v>14325.479355723535</v>
      </c>
      <c r="AD37" s="48">
        <f t="shared" si="22"/>
        <v>15302.991263597763</v>
      </c>
      <c r="AE37" s="48">
        <f t="shared" si="22"/>
        <v>15989.273825884296</v>
      </c>
      <c r="AF37" s="48">
        <f t="shared" si="22"/>
        <v>16629.530933910071</v>
      </c>
      <c r="AG37" s="48">
        <f t="shared" si="22"/>
        <v>17344.002724553397</v>
      </c>
      <c r="AH37" s="48">
        <f t="shared" si="22"/>
        <v>18209.093937626079</v>
      </c>
      <c r="AI37" s="48">
        <f t="shared" si="22"/>
        <v>19239.753046172747</v>
      </c>
      <c r="AJ37" s="48">
        <f t="shared" si="22"/>
        <v>20428.19053082804</v>
      </c>
      <c r="AK37" s="48">
        <f t="shared" si="22"/>
        <v>21557.551316330209</v>
      </c>
      <c r="AL37" s="48">
        <f t="shared" si="22"/>
        <v>23045.128374930904</v>
      </c>
      <c r="AM37" s="48">
        <f t="shared" si="22"/>
        <v>24638.236027493407</v>
      </c>
      <c r="AN37" s="48">
        <f t="shared" si="22"/>
        <v>25656.310339531239</v>
      </c>
      <c r="AO37" s="48">
        <f t="shared" si="22"/>
        <v>27278.476900122376</v>
      </c>
      <c r="AP37" s="48">
        <f t="shared" si="22"/>
        <v>28476.904725100132</v>
      </c>
      <c r="AQ37" s="48">
        <f t="shared" si="22"/>
        <v>29814.424495736195</v>
      </c>
      <c r="AR37" s="48">
        <f t="shared" si="22"/>
        <v>31006.52773232491</v>
      </c>
      <c r="AS37" s="48">
        <f t="shared" si="22"/>
        <v>32951.813378855666</v>
      </c>
      <c r="AT37" s="48">
        <f t="shared" si="22"/>
        <v>34983.271787646809</v>
      </c>
      <c r="AU37" s="48">
        <f t="shared" si="22"/>
        <v>37243.732933225714</v>
      </c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</row>
    <row r="38" spans="1:60" x14ac:dyDescent="0.35">
      <c r="A38" s="2" t="s">
        <v>28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 t="s">
        <v>29</v>
      </c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x14ac:dyDescent="0.3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>
        <f>AU28/AU11</f>
        <v>2.3622701710713363</v>
      </c>
      <c r="AV39" s="23">
        <f>AU11/AU28</f>
        <v>0.42332160488928339</v>
      </c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x14ac:dyDescent="0.35">
      <c r="A40" s="49" t="s">
        <v>60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x14ac:dyDescent="0.35">
      <c r="A41" s="1" t="s">
        <v>30</v>
      </c>
      <c r="B41" s="50">
        <f>+B42</f>
        <v>-4901291616.1836109</v>
      </c>
      <c r="C41" s="50">
        <f>+B41+C42</f>
        <v>-9182495123.883152</v>
      </c>
      <c r="D41" s="50">
        <f t="shared" ref="D41:AT41" si="23">+C41+D42</f>
        <v>-13677732162.998722</v>
      </c>
      <c r="E41" s="50">
        <f t="shared" si="23"/>
        <v>-18661154630.016663</v>
      </c>
      <c r="F41" s="50">
        <f t="shared" si="23"/>
        <v>-26329049185.44883</v>
      </c>
      <c r="G41" s="50">
        <f t="shared" si="23"/>
        <v>-34479297321.919106</v>
      </c>
      <c r="H41" s="50">
        <f t="shared" si="23"/>
        <v>-43172461443.656776</v>
      </c>
      <c r="I41" s="50">
        <f t="shared" si="23"/>
        <v>-52732900813.675964</v>
      </c>
      <c r="J41" s="50">
        <f t="shared" si="23"/>
        <v>-62104772228.977936</v>
      </c>
      <c r="K41" s="50">
        <f t="shared" si="23"/>
        <v>-72203728592.789597</v>
      </c>
      <c r="L41" s="50">
        <f t="shared" si="23"/>
        <v>-83746381967.943619</v>
      </c>
      <c r="M41" s="50">
        <f t="shared" si="23"/>
        <v>-96498262214.89653</v>
      </c>
      <c r="N41" s="50">
        <f t="shared" si="23"/>
        <v>-107048005805.18494</v>
      </c>
      <c r="O41" s="50">
        <f t="shared" si="23"/>
        <v>-115265012438.6817</v>
      </c>
      <c r="P41" s="50">
        <f t="shared" si="23"/>
        <v>-122593891826.01358</v>
      </c>
      <c r="Q41" s="50">
        <f t="shared" si="23"/>
        <v>-129312577543.93665</v>
      </c>
      <c r="R41" s="50">
        <f t="shared" si="23"/>
        <v>-134733771304.31993</v>
      </c>
      <c r="S41" s="50">
        <f t="shared" si="23"/>
        <v>-139191459090.99039</v>
      </c>
      <c r="T41" s="50">
        <f t="shared" si="23"/>
        <v>-142955984513.13058</v>
      </c>
      <c r="U41" s="50">
        <f t="shared" si="23"/>
        <v>-146568180263.66272</v>
      </c>
      <c r="V41" s="50">
        <f t="shared" si="23"/>
        <v>-150137773934.30029</v>
      </c>
      <c r="W41" s="50">
        <f t="shared" si="23"/>
        <v>-153718492015.45953</v>
      </c>
      <c r="X41" s="50">
        <f t="shared" si="23"/>
        <v>-157146378579.04349</v>
      </c>
      <c r="Y41" s="50">
        <f t="shared" si="23"/>
        <v>-160367073129.70352</v>
      </c>
      <c r="Z41" s="50">
        <f t="shared" si="23"/>
        <v>-163828640102.57162</v>
      </c>
      <c r="AA41" s="50">
        <f t="shared" si="23"/>
        <v>-167161552325.20789</v>
      </c>
      <c r="AB41" s="50">
        <f t="shared" si="23"/>
        <v>-170235256141.24213</v>
      </c>
      <c r="AC41" s="50">
        <f t="shared" si="23"/>
        <v>-173293733856.23413</v>
      </c>
      <c r="AD41" s="50">
        <f t="shared" si="23"/>
        <v>-175995795892.50989</v>
      </c>
      <c r="AE41" s="50">
        <f t="shared" si="23"/>
        <v>-177677841366.15582</v>
      </c>
      <c r="AF41" s="50">
        <f t="shared" si="23"/>
        <v>-179064739884.04541</v>
      </c>
      <c r="AG41" s="50">
        <f t="shared" si="23"/>
        <v>-180427420444.34329</v>
      </c>
      <c r="AH41" s="50">
        <f t="shared" si="23"/>
        <v>-181873757584.01364</v>
      </c>
      <c r="AI41" s="50">
        <f t="shared" si="23"/>
        <v>-183376376638.73029</v>
      </c>
      <c r="AJ41" s="50">
        <f t="shared" si="23"/>
        <v>-184877852138.61237</v>
      </c>
      <c r="AK41" s="50">
        <f t="shared" si="23"/>
        <v>-186104980473.33096</v>
      </c>
      <c r="AL41" s="50">
        <f t="shared" si="23"/>
        <v>-187482195175.53992</v>
      </c>
      <c r="AM41" s="50">
        <f t="shared" si="23"/>
        <v>-188724288301.18951</v>
      </c>
      <c r="AN41" s="50">
        <f t="shared" si="23"/>
        <v>-189382787643.13049</v>
      </c>
      <c r="AO41" s="50">
        <f t="shared" si="23"/>
        <v>-190236093740.94275</v>
      </c>
      <c r="AP41" s="50">
        <f t="shared" si="23"/>
        <v>-190734913677.87436</v>
      </c>
      <c r="AQ41" s="50">
        <f t="shared" si="23"/>
        <v>-191158118800.5636</v>
      </c>
      <c r="AR41" s="50">
        <f t="shared" si="23"/>
        <v>-191427136589.03464</v>
      </c>
      <c r="AS41" s="50">
        <f t="shared" si="23"/>
        <v>-191705647243.81882</v>
      </c>
      <c r="AT41" s="50">
        <f t="shared" si="23"/>
        <v>-191844146382.47043</v>
      </c>
      <c r="AU41" s="51">
        <f>+AT41+AU42</f>
        <v>-191998258285.65451</v>
      </c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x14ac:dyDescent="0.35">
      <c r="A42" s="1" t="s">
        <v>31</v>
      </c>
      <c r="B42" s="50">
        <f t="shared" ref="B42:AT42" si="24">+FV($B$47,B46,-B34)</f>
        <v>-4901291616.1836109</v>
      </c>
      <c r="C42" s="50">
        <f t="shared" si="24"/>
        <v>-4281203507.6995406</v>
      </c>
      <c r="D42" s="50">
        <f t="shared" si="24"/>
        <v>-4495237039.115571</v>
      </c>
      <c r="E42" s="50">
        <f t="shared" si="24"/>
        <v>-4983422467.0179396</v>
      </c>
      <c r="F42" s="50">
        <f t="shared" si="24"/>
        <v>-7667894555.4321651</v>
      </c>
      <c r="G42" s="50">
        <f t="shared" si="24"/>
        <v>-8150248136.4702787</v>
      </c>
      <c r="H42" s="50">
        <f t="shared" si="24"/>
        <v>-8693164121.737669</v>
      </c>
      <c r="I42" s="50">
        <f t="shared" si="24"/>
        <v>-9560439370.0191879</v>
      </c>
      <c r="J42" s="50">
        <f t="shared" si="24"/>
        <v>-9371871415.3019753</v>
      </c>
      <c r="K42" s="50">
        <f t="shared" si="24"/>
        <v>-10098956363.811666</v>
      </c>
      <c r="L42" s="50">
        <f t="shared" si="24"/>
        <v>-11542653375.154026</v>
      </c>
      <c r="M42" s="50">
        <f t="shared" si="24"/>
        <v>-12751880246.952906</v>
      </c>
      <c r="N42" s="50">
        <f t="shared" si="24"/>
        <v>-10549743590.288403</v>
      </c>
      <c r="O42" s="50">
        <f t="shared" si="24"/>
        <v>-8217006633.4967575</v>
      </c>
      <c r="P42" s="50">
        <f t="shared" si="24"/>
        <v>-7328879387.3318739</v>
      </c>
      <c r="Q42" s="50">
        <f t="shared" si="24"/>
        <v>-6718685717.9230661</v>
      </c>
      <c r="R42" s="50">
        <f t="shared" si="24"/>
        <v>-5421193760.3832817</v>
      </c>
      <c r="S42" s="50">
        <f t="shared" si="24"/>
        <v>-4457687786.6704607</v>
      </c>
      <c r="T42" s="50">
        <f t="shared" si="24"/>
        <v>-3764525422.1401935</v>
      </c>
      <c r="U42" s="50">
        <f t="shared" si="24"/>
        <v>-3612195750.5321274</v>
      </c>
      <c r="V42" s="50">
        <f t="shared" si="24"/>
        <v>-3569593670.637568</v>
      </c>
      <c r="W42" s="50">
        <f t="shared" si="24"/>
        <v>-3580718081.1592379</v>
      </c>
      <c r="X42" s="50">
        <f t="shared" si="24"/>
        <v>-3427886563.5839643</v>
      </c>
      <c r="Y42" s="50">
        <f t="shared" si="24"/>
        <v>-3220694550.6600351</v>
      </c>
      <c r="Z42" s="50">
        <f t="shared" si="24"/>
        <v>-3461566972.8681049</v>
      </c>
      <c r="AA42" s="50">
        <f t="shared" si="24"/>
        <v>-3332912222.6362567</v>
      </c>
      <c r="AB42" s="50">
        <f t="shared" si="24"/>
        <v>-3073703816.0342364</v>
      </c>
      <c r="AC42" s="50">
        <f t="shared" si="24"/>
        <v>-3058477714.992012</v>
      </c>
      <c r="AD42" s="50">
        <f t="shared" si="24"/>
        <v>-2702062036.2757535</v>
      </c>
      <c r="AE42" s="50">
        <f t="shared" si="24"/>
        <v>-1682045473.6459351</v>
      </c>
      <c r="AF42" s="50">
        <f t="shared" si="24"/>
        <v>-1386898517.8895857</v>
      </c>
      <c r="AG42" s="50">
        <f t="shared" si="24"/>
        <v>-1362680560.2978721</v>
      </c>
      <c r="AH42" s="50">
        <f t="shared" si="24"/>
        <v>-1446337139.6703475</v>
      </c>
      <c r="AI42" s="50">
        <f t="shared" si="24"/>
        <v>-1502619054.7166378</v>
      </c>
      <c r="AJ42" s="50">
        <f t="shared" si="24"/>
        <v>-1501475499.8820655</v>
      </c>
      <c r="AK42" s="50">
        <f t="shared" si="24"/>
        <v>-1227128334.7185957</v>
      </c>
      <c r="AL42" s="50">
        <f t="shared" si="24"/>
        <v>-1377214702.2089403</v>
      </c>
      <c r="AM42" s="50">
        <f t="shared" si="24"/>
        <v>-1242093125.6496086</v>
      </c>
      <c r="AN42" s="50">
        <f t="shared" si="24"/>
        <v>-658499341.94097733</v>
      </c>
      <c r="AO42" s="50">
        <f t="shared" si="24"/>
        <v>-853306097.81224453</v>
      </c>
      <c r="AP42" s="50">
        <f t="shared" si="24"/>
        <v>-498819936.93159699</v>
      </c>
      <c r="AQ42" s="50">
        <f t="shared" si="24"/>
        <v>-423205122.68923777</v>
      </c>
      <c r="AR42" s="50">
        <f t="shared" si="24"/>
        <v>-269017788.47103232</v>
      </c>
      <c r="AS42" s="50">
        <f t="shared" si="24"/>
        <v>-278510654.78417826</v>
      </c>
      <c r="AT42" s="50">
        <f t="shared" si="24"/>
        <v>-138499138.65160036</v>
      </c>
      <c r="AU42" s="52">
        <f>+AU34</f>
        <v>-154111903.184071</v>
      </c>
      <c r="AV42" s="51">
        <f>SUM(B42:AU42)</f>
        <v>-191998258285.65451</v>
      </c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0" x14ac:dyDescent="0.35">
      <c r="A43" s="1"/>
      <c r="B43" s="53">
        <f>+B42/1000000</f>
        <v>-4901.291616183611</v>
      </c>
      <c r="C43" s="53">
        <f t="shared" ref="C43:AU43" si="25">+C42/1000000</f>
        <v>-4281.2035076995408</v>
      </c>
      <c r="D43" s="53">
        <f t="shared" si="25"/>
        <v>-4495.237039115571</v>
      </c>
      <c r="E43" s="53">
        <f t="shared" si="25"/>
        <v>-4983.4224670179392</v>
      </c>
      <c r="F43" s="53">
        <f t="shared" si="25"/>
        <v>-7667.8945554321654</v>
      </c>
      <c r="G43" s="53">
        <f t="shared" si="25"/>
        <v>-8150.248136470279</v>
      </c>
      <c r="H43" s="53">
        <f t="shared" si="25"/>
        <v>-8693.1641217376691</v>
      </c>
      <c r="I43" s="53">
        <f t="shared" si="25"/>
        <v>-9560.4393700191886</v>
      </c>
      <c r="J43" s="53">
        <f t="shared" si="25"/>
        <v>-9371.8714153019755</v>
      </c>
      <c r="K43" s="53">
        <f t="shared" si="25"/>
        <v>-10098.956363811667</v>
      </c>
      <c r="L43" s="53">
        <f t="shared" si="25"/>
        <v>-11542.653375154026</v>
      </c>
      <c r="M43" s="53">
        <f t="shared" si="25"/>
        <v>-12751.880246952906</v>
      </c>
      <c r="N43" s="53">
        <f t="shared" si="25"/>
        <v>-10549.743590288403</v>
      </c>
      <c r="O43" s="53">
        <f t="shared" si="25"/>
        <v>-8217.0066334967578</v>
      </c>
      <c r="P43" s="53">
        <f t="shared" si="25"/>
        <v>-7328.8793873318737</v>
      </c>
      <c r="Q43" s="53">
        <f t="shared" si="25"/>
        <v>-6718.6857179230665</v>
      </c>
      <c r="R43" s="53">
        <f t="shared" si="25"/>
        <v>-5421.1937603832821</v>
      </c>
      <c r="S43" s="53">
        <f t="shared" si="25"/>
        <v>-4457.6877866704608</v>
      </c>
      <c r="T43" s="53">
        <f t="shared" si="25"/>
        <v>-3764.5254221401933</v>
      </c>
      <c r="U43" s="53">
        <f t="shared" si="25"/>
        <v>-3612.1957505321275</v>
      </c>
      <c r="V43" s="53">
        <f t="shared" si="25"/>
        <v>-3569.5936706375678</v>
      </c>
      <c r="W43" s="53">
        <f t="shared" si="25"/>
        <v>-3580.718081159238</v>
      </c>
      <c r="X43" s="53">
        <f t="shared" si="25"/>
        <v>-3427.8865635839643</v>
      </c>
      <c r="Y43" s="53">
        <f t="shared" si="25"/>
        <v>-3220.694550660035</v>
      </c>
      <c r="Z43" s="53">
        <f t="shared" si="25"/>
        <v>-3461.566972868105</v>
      </c>
      <c r="AA43" s="53">
        <f t="shared" si="25"/>
        <v>-3332.9122226362565</v>
      </c>
      <c r="AB43" s="53">
        <f t="shared" si="25"/>
        <v>-3073.7038160342363</v>
      </c>
      <c r="AC43" s="53">
        <f t="shared" si="25"/>
        <v>-3058.4777149920119</v>
      </c>
      <c r="AD43" s="53">
        <f t="shared" si="25"/>
        <v>-2702.0620362757536</v>
      </c>
      <c r="AE43" s="53">
        <f t="shared" si="25"/>
        <v>-1682.0454736459351</v>
      </c>
      <c r="AF43" s="53">
        <f t="shared" si="25"/>
        <v>-1386.8985178895857</v>
      </c>
      <c r="AG43" s="53">
        <f t="shared" si="25"/>
        <v>-1362.680560297872</v>
      </c>
      <c r="AH43" s="53">
        <f t="shared" si="25"/>
        <v>-1446.3371396703474</v>
      </c>
      <c r="AI43" s="53">
        <f t="shared" si="25"/>
        <v>-1502.6190547166379</v>
      </c>
      <c r="AJ43" s="53">
        <f t="shared" si="25"/>
        <v>-1501.4754998820656</v>
      </c>
      <c r="AK43" s="53">
        <f t="shared" si="25"/>
        <v>-1227.1283347185959</v>
      </c>
      <c r="AL43" s="53">
        <f t="shared" si="25"/>
        <v>-1377.2147022089403</v>
      </c>
      <c r="AM43" s="53">
        <f t="shared" si="25"/>
        <v>-1242.0931256496085</v>
      </c>
      <c r="AN43" s="53">
        <f t="shared" si="25"/>
        <v>-658.49934194097739</v>
      </c>
      <c r="AO43" s="53">
        <f t="shared" si="25"/>
        <v>-853.3060978122445</v>
      </c>
      <c r="AP43" s="53">
        <f t="shared" si="25"/>
        <v>-498.819936931597</v>
      </c>
      <c r="AQ43" s="53">
        <f t="shared" si="25"/>
        <v>-423.20512268923778</v>
      </c>
      <c r="AR43" s="53">
        <f t="shared" si="25"/>
        <v>-269.0177884710323</v>
      </c>
      <c r="AS43" s="53">
        <f t="shared" si="25"/>
        <v>-278.51065478417826</v>
      </c>
      <c r="AT43" s="53">
        <f t="shared" si="25"/>
        <v>-138.49913865160036</v>
      </c>
      <c r="AU43" s="53">
        <f t="shared" si="25"/>
        <v>-154.111903184071</v>
      </c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x14ac:dyDescent="0.35">
      <c r="A44" s="54" t="s">
        <v>32</v>
      </c>
      <c r="B44" s="55">
        <f>+B41/1000000</f>
        <v>-4901.291616183611</v>
      </c>
      <c r="C44" s="55">
        <f t="shared" ref="C44:AU44" si="26">+C41/1000000</f>
        <v>-9182.4951238831527</v>
      </c>
      <c r="D44" s="55">
        <f t="shared" si="26"/>
        <v>-13677.732162998722</v>
      </c>
      <c r="E44" s="55">
        <f t="shared" si="26"/>
        <v>-18661.154630016663</v>
      </c>
      <c r="F44" s="55">
        <f t="shared" si="26"/>
        <v>-26329.049185448828</v>
      </c>
      <c r="G44" s="55">
        <f t="shared" si="26"/>
        <v>-34479.297321919104</v>
      </c>
      <c r="H44" s="55">
        <f t="shared" si="26"/>
        <v>-43172.461443656779</v>
      </c>
      <c r="I44" s="55">
        <f t="shared" si="26"/>
        <v>-52732.900813675966</v>
      </c>
      <c r="J44" s="55">
        <f t="shared" si="26"/>
        <v>-62104.772228977934</v>
      </c>
      <c r="K44" s="55">
        <f t="shared" si="26"/>
        <v>-72203.728592789601</v>
      </c>
      <c r="L44" s="55">
        <f t="shared" si="26"/>
        <v>-83746.381967943613</v>
      </c>
      <c r="M44" s="55">
        <f t="shared" si="26"/>
        <v>-96498.262214896531</v>
      </c>
      <c r="N44" s="55">
        <f t="shared" si="26"/>
        <v>-107048.00580518493</v>
      </c>
      <c r="O44" s="55">
        <f t="shared" si="26"/>
        <v>-115265.0124386817</v>
      </c>
      <c r="P44" s="55">
        <f t="shared" si="26"/>
        <v>-122593.89182601358</v>
      </c>
      <c r="Q44" s="55">
        <f t="shared" si="26"/>
        <v>-129312.57754393664</v>
      </c>
      <c r="R44" s="55">
        <f t="shared" si="26"/>
        <v>-134733.77130431993</v>
      </c>
      <c r="S44" s="55">
        <f t="shared" si="26"/>
        <v>-139191.45909099039</v>
      </c>
      <c r="T44" s="55">
        <f t="shared" si="26"/>
        <v>-142955.98451313059</v>
      </c>
      <c r="U44" s="55">
        <f t="shared" si="26"/>
        <v>-146568.18026366271</v>
      </c>
      <c r="V44" s="55">
        <f t="shared" si="26"/>
        <v>-150137.77393430029</v>
      </c>
      <c r="W44" s="55">
        <f t="shared" si="26"/>
        <v>-153718.49201545955</v>
      </c>
      <c r="X44" s="55">
        <f t="shared" si="26"/>
        <v>-157146.37857904349</v>
      </c>
      <c r="Y44" s="55">
        <f t="shared" si="26"/>
        <v>-160367.07312970352</v>
      </c>
      <c r="Z44" s="55">
        <f t="shared" si="26"/>
        <v>-163828.64010257163</v>
      </c>
      <c r="AA44" s="55">
        <f t="shared" si="26"/>
        <v>-167161.55232520789</v>
      </c>
      <c r="AB44" s="55">
        <f t="shared" si="26"/>
        <v>-170235.25614124213</v>
      </c>
      <c r="AC44" s="55">
        <f t="shared" si="26"/>
        <v>-173293.73385623412</v>
      </c>
      <c r="AD44" s="55">
        <f t="shared" si="26"/>
        <v>-175995.79589250989</v>
      </c>
      <c r="AE44" s="55">
        <f t="shared" si="26"/>
        <v>-177677.84136615583</v>
      </c>
      <c r="AF44" s="55">
        <f t="shared" si="26"/>
        <v>-179064.73988404541</v>
      </c>
      <c r="AG44" s="55">
        <f t="shared" si="26"/>
        <v>-180427.4204443433</v>
      </c>
      <c r="AH44" s="55">
        <f t="shared" si="26"/>
        <v>-181873.75758401363</v>
      </c>
      <c r="AI44" s="55">
        <f t="shared" si="26"/>
        <v>-183376.37663873029</v>
      </c>
      <c r="AJ44" s="55">
        <f t="shared" si="26"/>
        <v>-184877.85213861236</v>
      </c>
      <c r="AK44" s="55">
        <f t="shared" si="26"/>
        <v>-186104.98047333097</v>
      </c>
      <c r="AL44" s="55">
        <f t="shared" si="26"/>
        <v>-187482.19517553991</v>
      </c>
      <c r="AM44" s="55">
        <f t="shared" si="26"/>
        <v>-188724.28830118952</v>
      </c>
      <c r="AN44" s="55">
        <f t="shared" si="26"/>
        <v>-189382.78764313049</v>
      </c>
      <c r="AO44" s="55">
        <f t="shared" si="26"/>
        <v>-190236.09374094274</v>
      </c>
      <c r="AP44" s="55">
        <f t="shared" si="26"/>
        <v>-190734.91367787437</v>
      </c>
      <c r="AQ44" s="55">
        <f t="shared" si="26"/>
        <v>-191158.11880056359</v>
      </c>
      <c r="AR44" s="55">
        <f t="shared" si="26"/>
        <v>-191427.13658903464</v>
      </c>
      <c r="AS44" s="55">
        <f t="shared" si="26"/>
        <v>-191705.64724381882</v>
      </c>
      <c r="AT44" s="55">
        <f t="shared" si="26"/>
        <v>-191844.14638247044</v>
      </c>
      <c r="AU44" s="55">
        <f t="shared" si="26"/>
        <v>-191998.25828565451</v>
      </c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</row>
    <row r="45" spans="1:60" x14ac:dyDescent="0.35">
      <c r="A45" s="35" t="s">
        <v>33</v>
      </c>
      <c r="B45" s="56">
        <f>+(-B41/($AU$12*1000))*100</f>
        <v>4.8589328968685797</v>
      </c>
      <c r="C45" s="56">
        <f t="shared" ref="C45:AT45" si="27">+(-C41/($AU$12*1000))*100</f>
        <v>9.1031367089951445</v>
      </c>
      <c r="D45" s="56">
        <f t="shared" si="27"/>
        <v>13.559524298025821</v>
      </c>
      <c r="E45" s="56">
        <f t="shared" si="27"/>
        <v>18.499878241470991</v>
      </c>
      <c r="F45" s="56">
        <f t="shared" si="27"/>
        <v>26.101504103128981</v>
      </c>
      <c r="G45" s="56">
        <f t="shared" si="27"/>
        <v>34.181314873248589</v>
      </c>
      <c r="H45" s="56">
        <f t="shared" si="27"/>
        <v>42.799349554049435</v>
      </c>
      <c r="I45" s="56">
        <f t="shared" si="27"/>
        <v>52.277164179508262</v>
      </c>
      <c r="J45" s="56">
        <f t="shared" si="27"/>
        <v>61.56804052211826</v>
      </c>
      <c r="K45" s="56">
        <f t="shared" si="27"/>
        <v>71.579718084444835</v>
      </c>
      <c r="L45" s="56">
        <f t="shared" si="27"/>
        <v>83.022615710960181</v>
      </c>
      <c r="M45" s="56">
        <f t="shared" si="27"/>
        <v>95.664289637126956</v>
      </c>
      <c r="N45" s="56">
        <f t="shared" si="27"/>
        <v>106.12285856110677</v>
      </c>
      <c r="O45" s="56">
        <f t="shared" si="27"/>
        <v>114.26885087738789</v>
      </c>
      <c r="P45" s="56">
        <f t="shared" si="27"/>
        <v>121.53439146156906</v>
      </c>
      <c r="Q45" s="56">
        <f t="shared" si="27"/>
        <v>128.19501188879372</v>
      </c>
      <c r="R45" s="56">
        <f t="shared" si="27"/>
        <v>133.56935374914104</v>
      </c>
      <c r="S45" s="56">
        <f t="shared" si="27"/>
        <v>137.98851659982807</v>
      </c>
      <c r="T45" s="56">
        <f t="shared" si="27"/>
        <v>141.72050764364556</v>
      </c>
      <c r="U45" s="56">
        <f t="shared" si="27"/>
        <v>145.30148550348895</v>
      </c>
      <c r="V45" s="56">
        <f t="shared" si="27"/>
        <v>148.84022946588553</v>
      </c>
      <c r="W45" s="56">
        <f t="shared" si="27"/>
        <v>152.39000169765984</v>
      </c>
      <c r="X45" s="56">
        <f t="shared" si="27"/>
        <v>155.78826323662557</v>
      </c>
      <c r="Y45" s="56">
        <f t="shared" si="27"/>
        <v>158.98112339032369</v>
      </c>
      <c r="Z45" s="56">
        <f t="shared" si="27"/>
        <v>162.41277426040173</v>
      </c>
      <c r="AA45" s="56">
        <f t="shared" si="27"/>
        <v>165.71688226072359</v>
      </c>
      <c r="AB45" s="56">
        <f t="shared" si="27"/>
        <v>168.76402202642237</v>
      </c>
      <c r="AC45" s="56">
        <f t="shared" si="27"/>
        <v>171.79606728050288</v>
      </c>
      <c r="AD45" s="56">
        <f t="shared" si="27"/>
        <v>174.47477712794165</v>
      </c>
      <c r="AE45" s="56">
        <f t="shared" si="27"/>
        <v>176.14228576157217</v>
      </c>
      <c r="AF45" s="56">
        <f t="shared" si="27"/>
        <v>177.5171982052515</v>
      </c>
      <c r="AG45" s="56">
        <f t="shared" si="27"/>
        <v>178.86810199161104</v>
      </c>
      <c r="AH45" s="56">
        <f t="shared" si="27"/>
        <v>180.30193936719229</v>
      </c>
      <c r="AI45" s="56">
        <f t="shared" si="27"/>
        <v>181.79157224933229</v>
      </c>
      <c r="AJ45" s="56">
        <f t="shared" si="27"/>
        <v>183.28007145964861</v>
      </c>
      <c r="AK45" s="56">
        <f t="shared" si="27"/>
        <v>184.49659451135929</v>
      </c>
      <c r="AL45" s="56">
        <f t="shared" si="27"/>
        <v>185.86190683036486</v>
      </c>
      <c r="AM45" s="56">
        <f t="shared" si="27"/>
        <v>187.09326534191828</v>
      </c>
      <c r="AN45" s="56">
        <f t="shared" si="27"/>
        <v>187.74607369646679</v>
      </c>
      <c r="AO45" s="56">
        <f t="shared" si="27"/>
        <v>188.59200521706197</v>
      </c>
      <c r="AP45" s="56">
        <f t="shared" si="27"/>
        <v>189.08651417326607</v>
      </c>
      <c r="AQ45" s="56">
        <f t="shared" si="27"/>
        <v>189.50606180556127</v>
      </c>
      <c r="AR45" s="56">
        <f t="shared" si="27"/>
        <v>189.77275464585844</v>
      </c>
      <c r="AS45" s="56">
        <f t="shared" si="27"/>
        <v>190.04885831171478</v>
      </c>
      <c r="AT45" s="56">
        <f t="shared" si="27"/>
        <v>190.18616049115667</v>
      </c>
      <c r="AU45" s="56">
        <f>+(-AU41/($AU$12*1000))*100</f>
        <v>190.33894050402262</v>
      </c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0" x14ac:dyDescent="0.35">
      <c r="A46" s="57" t="s">
        <v>34</v>
      </c>
      <c r="B46" s="57">
        <v>45</v>
      </c>
      <c r="C46" s="57">
        <f>+B46-1</f>
        <v>44</v>
      </c>
      <c r="D46" s="57">
        <f t="shared" ref="D46:AU46" si="28">+C46-1</f>
        <v>43</v>
      </c>
      <c r="E46" s="57">
        <f t="shared" si="28"/>
        <v>42</v>
      </c>
      <c r="F46" s="57">
        <f t="shared" si="28"/>
        <v>41</v>
      </c>
      <c r="G46" s="57">
        <f t="shared" si="28"/>
        <v>40</v>
      </c>
      <c r="H46" s="57">
        <f t="shared" si="28"/>
        <v>39</v>
      </c>
      <c r="I46" s="57">
        <f t="shared" si="28"/>
        <v>38</v>
      </c>
      <c r="J46" s="57">
        <f t="shared" si="28"/>
        <v>37</v>
      </c>
      <c r="K46" s="57">
        <f t="shared" si="28"/>
        <v>36</v>
      </c>
      <c r="L46" s="57">
        <f>+K46-1</f>
        <v>35</v>
      </c>
      <c r="M46" s="57">
        <f t="shared" si="28"/>
        <v>34</v>
      </c>
      <c r="N46" s="57">
        <f>+M46-1</f>
        <v>33</v>
      </c>
      <c r="O46" s="57">
        <f t="shared" si="28"/>
        <v>32</v>
      </c>
      <c r="P46" s="57">
        <f t="shared" si="28"/>
        <v>31</v>
      </c>
      <c r="Q46" s="57">
        <f t="shared" si="28"/>
        <v>30</v>
      </c>
      <c r="R46" s="57">
        <f>+Q46-1</f>
        <v>29</v>
      </c>
      <c r="S46" s="57">
        <f t="shared" si="28"/>
        <v>28</v>
      </c>
      <c r="T46" s="57">
        <f t="shared" si="28"/>
        <v>27</v>
      </c>
      <c r="U46" s="57">
        <f t="shared" si="28"/>
        <v>26</v>
      </c>
      <c r="V46" s="57">
        <f t="shared" si="28"/>
        <v>25</v>
      </c>
      <c r="W46" s="57">
        <f t="shared" si="28"/>
        <v>24</v>
      </c>
      <c r="X46" s="57">
        <f t="shared" si="28"/>
        <v>23</v>
      </c>
      <c r="Y46" s="57">
        <f t="shared" si="28"/>
        <v>22</v>
      </c>
      <c r="Z46" s="57">
        <f t="shared" si="28"/>
        <v>21</v>
      </c>
      <c r="AA46" s="57">
        <f t="shared" si="28"/>
        <v>20</v>
      </c>
      <c r="AB46" s="57">
        <f t="shared" si="28"/>
        <v>19</v>
      </c>
      <c r="AC46" s="57">
        <f t="shared" si="28"/>
        <v>18</v>
      </c>
      <c r="AD46" s="57">
        <f t="shared" si="28"/>
        <v>17</v>
      </c>
      <c r="AE46" s="57">
        <f t="shared" si="28"/>
        <v>16</v>
      </c>
      <c r="AF46" s="57">
        <f t="shared" si="28"/>
        <v>15</v>
      </c>
      <c r="AG46" s="57">
        <f t="shared" si="28"/>
        <v>14</v>
      </c>
      <c r="AH46" s="57">
        <f t="shared" si="28"/>
        <v>13</v>
      </c>
      <c r="AI46" s="57">
        <f t="shared" si="28"/>
        <v>12</v>
      </c>
      <c r="AJ46" s="57">
        <f t="shared" si="28"/>
        <v>11</v>
      </c>
      <c r="AK46" s="57">
        <f t="shared" si="28"/>
        <v>10</v>
      </c>
      <c r="AL46" s="57">
        <f t="shared" si="28"/>
        <v>9</v>
      </c>
      <c r="AM46" s="57">
        <f t="shared" si="28"/>
        <v>8</v>
      </c>
      <c r="AN46" s="57">
        <f t="shared" si="28"/>
        <v>7</v>
      </c>
      <c r="AO46" s="57">
        <f t="shared" si="28"/>
        <v>6</v>
      </c>
      <c r="AP46" s="57">
        <f t="shared" si="28"/>
        <v>5</v>
      </c>
      <c r="AQ46" s="57">
        <f t="shared" si="28"/>
        <v>4</v>
      </c>
      <c r="AR46" s="57">
        <f t="shared" si="28"/>
        <v>3</v>
      </c>
      <c r="AS46" s="57">
        <f>+AR46-1</f>
        <v>2</v>
      </c>
      <c r="AT46" s="57">
        <f t="shared" si="28"/>
        <v>1</v>
      </c>
      <c r="AU46" s="57">
        <f t="shared" si="28"/>
        <v>0</v>
      </c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</row>
    <row r="47" spans="1:60" x14ac:dyDescent="0.35">
      <c r="A47" s="58" t="s">
        <v>35</v>
      </c>
      <c r="B47" s="58">
        <v>0.1</v>
      </c>
      <c r="C47" s="5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59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0" x14ac:dyDescent="0.35">
      <c r="A48" s="60" t="s">
        <v>36</v>
      </c>
      <c r="B48" s="61">
        <f>+B44/$B$44*100</f>
        <v>100</v>
      </c>
      <c r="C48" s="61">
        <f t="shared" ref="C48:AU48" si="29">+C44/$B$44*100</f>
        <v>187.34847552354168</v>
      </c>
      <c r="D48" s="61">
        <f t="shared" si="29"/>
        <v>279.06383121208535</v>
      </c>
      <c r="E48" s="61">
        <f t="shared" si="29"/>
        <v>380.73952931915454</v>
      </c>
      <c r="F48" s="61">
        <f t="shared" si="29"/>
        <v>537.18593479548838</v>
      </c>
      <c r="G48" s="61">
        <f t="shared" si="29"/>
        <v>703.47369677151346</v>
      </c>
      <c r="H48" s="61">
        <f t="shared" si="29"/>
        <v>880.8384569713279</v>
      </c>
      <c r="I48" s="61">
        <f t="shared" si="29"/>
        <v>1075.8980477626919</v>
      </c>
      <c r="J48" s="61">
        <f t="shared" si="29"/>
        <v>1267.1103270801868</v>
      </c>
      <c r="K48" s="61">
        <f>+K44/$B$44*100</f>
        <v>1473.1571644172238</v>
      </c>
      <c r="L48" s="61">
        <f t="shared" si="29"/>
        <v>1708.659441756553</v>
      </c>
      <c r="M48" s="61">
        <f t="shared" si="29"/>
        <v>1968.8333152075302</v>
      </c>
      <c r="N48" s="61">
        <f t="shared" si="29"/>
        <v>2184.0774674929021</v>
      </c>
      <c r="O48" s="61">
        <f>+O44/$B$44*100</f>
        <v>2351.727288743386</v>
      </c>
      <c r="P48" s="61">
        <f t="shared" si="29"/>
        <v>2501.2568405687166</v>
      </c>
      <c r="Q48" s="61">
        <f t="shared" si="29"/>
        <v>2638.3367420326204</v>
      </c>
      <c r="R48" s="61">
        <f t="shared" si="29"/>
        <v>2748.9441938007017</v>
      </c>
      <c r="S48" s="61">
        <f t="shared" si="29"/>
        <v>2839.8934401575511</v>
      </c>
      <c r="T48" s="61">
        <f t="shared" si="29"/>
        <v>2916.7002436888915</v>
      </c>
      <c r="U48" s="61">
        <f t="shared" si="29"/>
        <v>2990.3990976523037</v>
      </c>
      <c r="V48" s="61">
        <f t="shared" si="29"/>
        <v>3063.2287505309673</v>
      </c>
      <c r="W48" s="61">
        <f t="shared" si="29"/>
        <v>3136.2853723678741</v>
      </c>
      <c r="X48" s="61">
        <f t="shared" si="29"/>
        <v>3206.2238055813837</v>
      </c>
      <c r="Y48" s="61">
        <f t="shared" si="29"/>
        <v>3271.9349446620618</v>
      </c>
      <c r="Z48" s="61">
        <f t="shared" si="29"/>
        <v>3342.5605520313184</v>
      </c>
      <c r="AA48" s="61">
        <f t="shared" si="29"/>
        <v>3410.5612441678832</v>
      </c>
      <c r="AB48" s="61">
        <f t="shared" si="29"/>
        <v>3473.2733628650267</v>
      </c>
      <c r="AC48" s="61">
        <f t="shared" si="29"/>
        <v>3535.67482669332</v>
      </c>
      <c r="AD48" s="61">
        <f t="shared" si="29"/>
        <v>3590.8044179903122</v>
      </c>
      <c r="AE48" s="61">
        <f t="shared" si="29"/>
        <v>3625.1228304694223</v>
      </c>
      <c r="AF48" s="61">
        <f t="shared" si="29"/>
        <v>3653.4194230106655</v>
      </c>
      <c r="AG48" s="61">
        <f t="shared" si="29"/>
        <v>3681.2219017654179</v>
      </c>
      <c r="AH48" s="61">
        <f t="shared" si="29"/>
        <v>3710.7312077388606</v>
      </c>
      <c r="AI48" s="61">
        <f t="shared" si="29"/>
        <v>3741.3888215350921</v>
      </c>
      <c r="AJ48" s="61">
        <f t="shared" si="29"/>
        <v>3772.0231036276809</v>
      </c>
      <c r="AK48" s="61">
        <f t="shared" si="29"/>
        <v>3797.0599394418718</v>
      </c>
      <c r="AL48" s="61">
        <f t="shared" si="29"/>
        <v>3825.1589551719603</v>
      </c>
      <c r="AM48" s="61">
        <f t="shared" si="29"/>
        <v>3850.5011144009345</v>
      </c>
      <c r="AN48" s="61">
        <f t="shared" si="29"/>
        <v>3863.936335022508</v>
      </c>
      <c r="AO48" s="61">
        <f t="shared" si="29"/>
        <v>3881.3461560377427</v>
      </c>
      <c r="AP48" s="61">
        <f t="shared" si="29"/>
        <v>3891.5234720595963</v>
      </c>
      <c r="AQ48" s="61">
        <f t="shared" si="29"/>
        <v>3900.1580352692577</v>
      </c>
      <c r="AR48" s="61">
        <f t="shared" si="29"/>
        <v>3905.6467474198016</v>
      </c>
      <c r="AS48" s="61">
        <f t="shared" si="29"/>
        <v>3911.3291404825723</v>
      </c>
      <c r="AT48" s="61">
        <f t="shared" si="29"/>
        <v>3914.1549086575224</v>
      </c>
      <c r="AU48" s="61">
        <f t="shared" si="29"/>
        <v>3917.2992207134548</v>
      </c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</row>
    <row r="49" spans="1:60" x14ac:dyDescent="0.35">
      <c r="A49" s="58"/>
      <c r="B49" s="58"/>
      <c r="C49" s="5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59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x14ac:dyDescent="0.35">
      <c r="A50" s="49" t="s">
        <v>37</v>
      </c>
      <c r="B50" s="58"/>
      <c r="C50" s="5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59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60" x14ac:dyDescent="0.35">
      <c r="A51" s="58"/>
      <c r="B51" s="58"/>
      <c r="C51" s="5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59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x14ac:dyDescent="0.35">
      <c r="A52" s="62" t="s">
        <v>38</v>
      </c>
      <c r="B52" s="63">
        <f t="shared" ref="B52:AS52" si="30">+C52-C53</f>
        <v>-6817719.62705418</v>
      </c>
      <c r="C52" s="63">
        <f t="shared" si="30"/>
        <v>-12781189.00062507</v>
      </c>
      <c r="D52" s="63">
        <f t="shared" si="30"/>
        <v>-19052403.713493668</v>
      </c>
      <c r="E52" s="63">
        <f t="shared" si="30"/>
        <v>-26016431.694672842</v>
      </c>
      <c r="F52" s="63">
        <f t="shared" si="30"/>
        <v>-36751812.879918799</v>
      </c>
      <c r="G52" s="63">
        <f t="shared" si="30"/>
        <v>-48185947.483385399</v>
      </c>
      <c r="H52" s="63">
        <f t="shared" si="30"/>
        <v>-60409366.783799738</v>
      </c>
      <c r="I52" s="63">
        <f t="shared" si="30"/>
        <v>-73885827.591341481</v>
      </c>
      <c r="J52" s="63">
        <f t="shared" si="30"/>
        <v>-87132870.351093829</v>
      </c>
      <c r="K52" s="63">
        <f t="shared" si="30"/>
        <v>-101451023.27367692</v>
      </c>
      <c r="L52" s="63">
        <f t="shared" si="30"/>
        <v>-117870921.5136376</v>
      </c>
      <c r="M52" s="63">
        <f t="shared" si="30"/>
        <v>-136078174.0089772</v>
      </c>
      <c r="N52" s="63">
        <f t="shared" si="30"/>
        <v>-151202808.75077328</v>
      </c>
      <c r="O52" s="63">
        <f t="shared" si="30"/>
        <v>-163036360.25091133</v>
      </c>
      <c r="P52" s="63">
        <f t="shared" si="30"/>
        <v>-173643630.0776293</v>
      </c>
      <c r="Q52" s="63">
        <f t="shared" si="30"/>
        <v>-183421492.62114051</v>
      </c>
      <c r="R52" s="63">
        <f t="shared" si="30"/>
        <v>-191359340.5190739</v>
      </c>
      <c r="S52" s="63">
        <f t="shared" si="30"/>
        <v>-197930610.79755878</v>
      </c>
      <c r="T52" s="63">
        <f t="shared" si="30"/>
        <v>-203521719.89556193</v>
      </c>
      <c r="U52" s="63">
        <f t="shared" si="30"/>
        <v>-208931257.53768441</v>
      </c>
      <c r="V52" s="63">
        <f t="shared" si="30"/>
        <v>-214326409.73470861</v>
      </c>
      <c r="W52" s="63">
        <f t="shared" si="30"/>
        <v>-219793970.12749738</v>
      </c>
      <c r="X52" s="63">
        <f t="shared" si="30"/>
        <v>-225087986.36304122</v>
      </c>
      <c r="Y52" s="63">
        <f t="shared" si="30"/>
        <v>-230125344.69061813</v>
      </c>
      <c r="Z52" s="63">
        <f t="shared" si="30"/>
        <v>-235616343.63566193</v>
      </c>
      <c r="AA52" s="63">
        <f t="shared" si="30"/>
        <v>-240987176.68928722</v>
      </c>
      <c r="AB52" s="63">
        <f t="shared" si="30"/>
        <v>-246028323.99015087</v>
      </c>
      <c r="AC52" s="63">
        <f t="shared" si="30"/>
        <v>-251144504.43781897</v>
      </c>
      <c r="AD52" s="63">
        <f t="shared" si="30"/>
        <v>-255765824.09159914</v>
      </c>
      <c r="AE52" s="63">
        <f t="shared" si="30"/>
        <v>-258715363.69459388</v>
      </c>
      <c r="AF52" s="63">
        <f t="shared" si="30"/>
        <v>-261216935.6020349</v>
      </c>
      <c r="AG52" s="63">
        <f t="shared" si="30"/>
        <v>-263754698.14905512</v>
      </c>
      <c r="AH52" s="63">
        <f t="shared" si="30"/>
        <v>-266548110.91158047</v>
      </c>
      <c r="AI52" s="63">
        <f t="shared" si="30"/>
        <v>-269573599.87329173</v>
      </c>
      <c r="AJ52" s="63">
        <f t="shared" si="30"/>
        <v>-272745095.98564458</v>
      </c>
      <c r="AK52" s="63">
        <f t="shared" si="30"/>
        <v>-275484952.75855434</v>
      </c>
      <c r="AL52" s="63">
        <f t="shared" si="30"/>
        <v>-278765769.28250265</v>
      </c>
      <c r="AM52" s="63">
        <f t="shared" si="30"/>
        <v>-281959916.36320591</v>
      </c>
      <c r="AN52" s="63">
        <f t="shared" si="30"/>
        <v>-283815568.56285709</v>
      </c>
      <c r="AO52" s="63">
        <f t="shared" si="30"/>
        <v>-286503510.36075467</v>
      </c>
      <c r="AP52" s="63">
        <f t="shared" si="30"/>
        <v>-288308786.386926</v>
      </c>
      <c r="AQ52" s="63">
        <f t="shared" si="30"/>
        <v>-290140422.74653763</v>
      </c>
      <c r="AR52" s="63">
        <f t="shared" si="30"/>
        <v>-291624512.70881718</v>
      </c>
      <c r="AS52" s="63">
        <f t="shared" si="30"/>
        <v>-293826105.82071763</v>
      </c>
      <c r="AT52" s="63">
        <f>+AU52-AU53</f>
        <v>-295916214.77341616</v>
      </c>
      <c r="AU52" s="64">
        <f>+NPV($B$47,C34:AU34)+B34</f>
        <v>-298030508.64818114</v>
      </c>
      <c r="AV52" s="62" t="s">
        <v>39</v>
      </c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</row>
    <row r="53" spans="1:60" x14ac:dyDescent="0.35">
      <c r="A53" s="1" t="s">
        <v>40</v>
      </c>
      <c r="B53" s="59">
        <f>+PV($B$47,B56,0,-B34)</f>
        <v>-6817719.6270543775</v>
      </c>
      <c r="C53" s="59">
        <f>+PV($B$47,C56,0,-C34)</f>
        <v>-5963469.3735708902</v>
      </c>
      <c r="D53" s="59">
        <f>+PV($B$47,D56,0,-D34)</f>
        <v>-6271214.7128685974</v>
      </c>
      <c r="E53" s="59">
        <f>+PV($B$47,E56,0,-E34)</f>
        <v>-6964027.9811791759</v>
      </c>
      <c r="F53" s="59">
        <f t="shared" ref="F53:AU53" si="31">+PV($B$47,F56,0,-F34)</f>
        <v>-10735381.185245957</v>
      </c>
      <c r="G53" s="59">
        <f t="shared" si="31"/>
        <v>-11434134.603466598</v>
      </c>
      <c r="H53" s="59">
        <f t="shared" si="31"/>
        <v>-12223419.300414341</v>
      </c>
      <c r="I53" s="59">
        <f t="shared" si="31"/>
        <v>-13476460.807541741</v>
      </c>
      <c r="J53" s="59">
        <f t="shared" si="31"/>
        <v>-13247042.759752352</v>
      </c>
      <c r="K53" s="59">
        <f t="shared" si="31"/>
        <v>-14318152.922583088</v>
      </c>
      <c r="L53" s="59">
        <f t="shared" si="31"/>
        <v>-16419898.23996068</v>
      </c>
      <c r="M53" s="59">
        <f t="shared" si="31"/>
        <v>-18207252.495339599</v>
      </c>
      <c r="N53" s="59">
        <f t="shared" si="31"/>
        <v>-15124634.74179608</v>
      </c>
      <c r="O53" s="59">
        <f t="shared" si="31"/>
        <v>-11833551.500138033</v>
      </c>
      <c r="P53" s="59">
        <f t="shared" si="31"/>
        <v>-10607269.826717965</v>
      </c>
      <c r="Q53" s="59">
        <f t="shared" si="31"/>
        <v>-9777862.5435112156</v>
      </c>
      <c r="R53" s="59">
        <f t="shared" si="31"/>
        <v>-7937847.8979333835</v>
      </c>
      <c r="S53" s="59">
        <f t="shared" si="31"/>
        <v>-6571270.278484866</v>
      </c>
      <c r="T53" s="59">
        <f t="shared" si="31"/>
        <v>-5591109.098003149</v>
      </c>
      <c r="U53" s="59">
        <f t="shared" si="31"/>
        <v>-5409537.6421224698</v>
      </c>
      <c r="V53" s="59">
        <f t="shared" si="31"/>
        <v>-5395152.1970241927</v>
      </c>
      <c r="W53" s="59">
        <f t="shared" si="31"/>
        <v>-5467560.3927887762</v>
      </c>
      <c r="X53" s="59">
        <f t="shared" si="31"/>
        <v>-5294016.2355438387</v>
      </c>
      <c r="Y53" s="59">
        <f t="shared" si="31"/>
        <v>-5037358.3275769027</v>
      </c>
      <c r="Z53" s="59">
        <f t="shared" si="31"/>
        <v>-5490998.9450437883</v>
      </c>
      <c r="AA53" s="59">
        <f t="shared" si="31"/>
        <v>-5370833.0536252717</v>
      </c>
      <c r="AB53" s="59">
        <f t="shared" si="31"/>
        <v>-5041147.3008636404</v>
      </c>
      <c r="AC53" s="59">
        <f t="shared" si="31"/>
        <v>-5116180.4476680942</v>
      </c>
      <c r="AD53" s="59">
        <f t="shared" si="31"/>
        <v>-4621319.6537801642</v>
      </c>
      <c r="AE53" s="59">
        <f t="shared" si="31"/>
        <v>-2949539.6029947433</v>
      </c>
      <c r="AF53" s="59">
        <f t="shared" si="31"/>
        <v>-2501571.9074410223</v>
      </c>
      <c r="AG53" s="59">
        <f t="shared" si="31"/>
        <v>-2537762.5470202263</v>
      </c>
      <c r="AH53" s="59">
        <f t="shared" si="31"/>
        <v>-2793412.7625253568</v>
      </c>
      <c r="AI53" s="59">
        <f t="shared" si="31"/>
        <v>-3025488.961711247</v>
      </c>
      <c r="AJ53" s="59">
        <f t="shared" si="31"/>
        <v>-3171496.1123528183</v>
      </c>
      <c r="AK53" s="59">
        <f t="shared" si="31"/>
        <v>-2739856.7729097335</v>
      </c>
      <c r="AL53" s="59">
        <f t="shared" si="31"/>
        <v>-3280816.5239483123</v>
      </c>
      <c r="AM53" s="59">
        <f t="shared" si="31"/>
        <v>-3194147.080703245</v>
      </c>
      <c r="AN53" s="59">
        <f t="shared" si="31"/>
        <v>-1855652.1996511722</v>
      </c>
      <c r="AO53" s="59">
        <f t="shared" si="31"/>
        <v>-2687941.797897561</v>
      </c>
      <c r="AP53" s="59">
        <f t="shared" si="31"/>
        <v>-1805276.0261713243</v>
      </c>
      <c r="AQ53" s="59">
        <f t="shared" si="31"/>
        <v>-1831636.359611603</v>
      </c>
      <c r="AR53" s="59">
        <f t="shared" si="31"/>
        <v>-1484089.9622795412</v>
      </c>
      <c r="AS53" s="59">
        <f t="shared" si="31"/>
        <v>-2201593.1119004688</v>
      </c>
      <c r="AT53" s="59">
        <f t="shared" si="31"/>
        <v>-2090108.9526985269</v>
      </c>
      <c r="AU53" s="59">
        <f t="shared" si="31"/>
        <v>-2114293.8747649859</v>
      </c>
      <c r="AV53" s="1" t="s">
        <v>41</v>
      </c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r="54" spans="1:60" x14ac:dyDescent="0.35">
      <c r="A54" s="1"/>
      <c r="B54" s="59">
        <f>+PV($B$47,B57,0,-B35)</f>
        <v>-2.3293668120900266E-3</v>
      </c>
      <c r="C54" s="59">
        <f>+PV($B$47,C57,0,-C35)</f>
        <v>-2.2835492829462829E-3</v>
      </c>
      <c r="D54" s="59">
        <f>+PV(0.1,43,0,-D34)</f>
        <v>-125965.48955247759</v>
      </c>
      <c r="E54" s="59">
        <f>+PV(0.1,42,0,-E34)</f>
        <v>-169256.66768331706</v>
      </c>
      <c r="F54" s="59">
        <f>+PV(0.1,41,0,-F34)</f>
        <v>-315709.84052175836</v>
      </c>
      <c r="G54" s="59">
        <f>+PV(0.1,40,0,-G34)</f>
        <v>-406873.42045407632</v>
      </c>
      <c r="H54" s="59">
        <f>+PV(0.1,39,0,-H34)</f>
        <v>-526300.88392210391</v>
      </c>
      <c r="I54" s="59">
        <f>+PV(0.1,38,0,-I34)</f>
        <v>-702105.88409100636</v>
      </c>
      <c r="J54" s="59">
        <f>+PV(0.1,37,0,-J34)</f>
        <v>-835085.74168813089</v>
      </c>
      <c r="K54" s="59">
        <f>+PV(0.1,36,0,-K34)</f>
        <v>-1092155.5504476472</v>
      </c>
      <c r="L54" s="59">
        <f>+PV(0.1,35,0,-L34)</f>
        <v>-1515490.8980229881</v>
      </c>
      <c r="M54" s="59">
        <f>+PV(0.1,34,0,-M34)</f>
        <v>-2033352.4171742427</v>
      </c>
      <c r="N54" s="59">
        <f>+PV(0.1,33,0,-N34)</f>
        <v>-2043800.5277823396</v>
      </c>
      <c r="O54" s="59">
        <f>+PV(0.1,32,0,-O34)</f>
        <v>-1934880.2301301693</v>
      </c>
      <c r="P54" s="59">
        <f>+PV(0.1,31,0,-P34)</f>
        <v>-2098591.7868014085</v>
      </c>
      <c r="Q54" s="59">
        <f>+PV(0.1,30,0,-Q34)</f>
        <v>-2340742.5527411303</v>
      </c>
      <c r="R54" s="59">
        <f>+PV(0.1,29,0,-R34)</f>
        <v>-2299311.7877990445</v>
      </c>
      <c r="S54" s="59">
        <f>+PV(0.1,28,0,-S34)</f>
        <v>-2303190.1444523348</v>
      </c>
      <c r="T54" s="59">
        <f>+PV(0.1,27,0,-T34)</f>
        <v>-2371176.0525238663</v>
      </c>
      <c r="U54" s="59">
        <f>+PV(0.1,26,0,-U34)</f>
        <v>-2775948.1569297398</v>
      </c>
      <c r="V54" s="59">
        <f>+PV(0.1,25,0,-V34)</f>
        <v>-3349965.0402817684</v>
      </c>
      <c r="W54" s="59">
        <f>+PV(0.1,24,0,-W34)</f>
        <v>-4107859.0479254518</v>
      </c>
      <c r="X54" s="59">
        <f>+PV(0.1,23,0,-X34)</f>
        <v>-4812742.0323125804</v>
      </c>
      <c r="Y54" s="59">
        <f>+PV(0.1,22,0,-Y34)</f>
        <v>-5541094.1603345936</v>
      </c>
      <c r="Z54" s="59">
        <f>+PV(0.1,21,0,-Z34)</f>
        <v>-7308519.5958532831</v>
      </c>
      <c r="AA54" s="59">
        <f>+PV(0.1,20,0,-AA34)</f>
        <v>-8649780.3411940392</v>
      </c>
      <c r="AB54" s="59">
        <f>+PV(0.1,19,0,-AB34)</f>
        <v>-9823769.9488118254</v>
      </c>
      <c r="AC54" s="59">
        <f>+PV(0.1,18,0,-AC34)</f>
        <v>-12063685.873318337</v>
      </c>
      <c r="AD54" s="59">
        <f>+PV(0.1,17,0,-AD34)</f>
        <v>-13185164.308474679</v>
      </c>
      <c r="AE54" s="59">
        <f>+PV(0.1,16,0,-AE34)</f>
        <v>-10182610.667131213</v>
      </c>
      <c r="AF54" s="59">
        <f>+PV(0.1,15,0,-AF34)</f>
        <v>-10449686.67101964</v>
      </c>
      <c r="AG54" s="59">
        <f>+PV(0.1,14,0,-AG34)</f>
        <v>-12827045.384281741</v>
      </c>
      <c r="AH54" s="59">
        <f>+PV(0.1,13,0,-AH34)</f>
        <v>-17084258.380304407</v>
      </c>
      <c r="AI54" s="59">
        <f>+PV(0.1,12,0,-AI34)</f>
        <v>-22389374.520257365</v>
      </c>
      <c r="AJ54" s="59">
        <f>+PV(0.1,11,0,-AJ34)</f>
        <v>-28398535.353671283</v>
      </c>
      <c r="AK54" s="59">
        <f>+PV(0.1,10,0,-AK34)</f>
        <v>-29685542.461478025</v>
      </c>
      <c r="AL54" s="59">
        <f>+PV(0.1,9,0,-AL34)</f>
        <v>-43011485.572339445</v>
      </c>
      <c r="AM54" s="59">
        <f>+PV(0.1,8,0,-AM34)</f>
        <v>-50669052.106527463</v>
      </c>
      <c r="AN54" s="59">
        <f>+PV(0.1,7,0,-AN34)</f>
        <v>-35618023.873143017</v>
      </c>
      <c r="AO54" s="59">
        <f>+PV(0.1,6,0,-AO34)</f>
        <v>-62427863.327841863</v>
      </c>
      <c r="AP54" s="59">
        <f>+PV(0.1,5,0,-AP34)</f>
        <v>-50732655.51880414</v>
      </c>
      <c r="AQ54" s="59">
        <f>+PV(0.1,4,0,-AQ34)</f>
        <v>-62282868.600770235</v>
      </c>
      <c r="AR54" s="59">
        <f>+PV(0.1,3,0,-AR34)</f>
        <v>-61062551.717249572</v>
      </c>
      <c r="AS54" s="59">
        <f>+PV(0.1,2,0,-AS34)</f>
        <v>-109606711.83950335</v>
      </c>
      <c r="AT54" s="59">
        <f>+PV(0.1,1,0,-AT34)</f>
        <v>-125908307.86509112</v>
      </c>
      <c r="AU54" s="46">
        <f>+AU53</f>
        <v>-2114293.8747649859</v>
      </c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r="55" spans="1:60" x14ac:dyDescent="0.35">
      <c r="A55" s="65" t="s">
        <v>42</v>
      </c>
      <c r="B55" s="65">
        <f>+(B53*100)/B53</f>
        <v>100</v>
      </c>
      <c r="C55" s="65">
        <f>+(C53*100)/$B$53</f>
        <v>87.470146908159535</v>
      </c>
      <c r="D55" s="65">
        <f t="shared" ref="D55:AU55" si="32">+(D53*100)/$B$53</f>
        <v>91.984051206548372</v>
      </c>
      <c r="E55" s="65">
        <f t="shared" si="32"/>
        <v>102.14600133370418</v>
      </c>
      <c r="F55" s="65">
        <f t="shared" si="32"/>
        <v>157.46293148584962</v>
      </c>
      <c r="G55" s="65">
        <f t="shared" si="32"/>
        <v>167.71200971792913</v>
      </c>
      <c r="H55" s="65">
        <f t="shared" si="32"/>
        <v>179.28897005252057</v>
      </c>
      <c r="I55" s="65">
        <f t="shared" si="32"/>
        <v>197.66815804604005</v>
      </c>
      <c r="J55" s="65">
        <f t="shared" si="32"/>
        <v>194.30313190329579</v>
      </c>
      <c r="K55" s="65">
        <f t="shared" si="32"/>
        <v>210.01381262094088</v>
      </c>
      <c r="L55" s="65">
        <f t="shared" si="32"/>
        <v>240.84150035742906</v>
      </c>
      <c r="M55" s="65">
        <f t="shared" si="32"/>
        <v>267.0578065881262</v>
      </c>
      <c r="N55" s="65">
        <f t="shared" si="32"/>
        <v>221.84301451438154</v>
      </c>
      <c r="O55" s="65">
        <f t="shared" si="32"/>
        <v>173.5705213394169</v>
      </c>
      <c r="P55" s="65">
        <f t="shared" si="32"/>
        <v>155.5838375140234</v>
      </c>
      <c r="Q55" s="65">
        <f t="shared" si="32"/>
        <v>143.41837268740514</v>
      </c>
      <c r="R55" s="65">
        <f t="shared" si="32"/>
        <v>116.42966170732605</v>
      </c>
      <c r="S55" s="65">
        <f t="shared" si="32"/>
        <v>96.385164511729997</v>
      </c>
      <c r="T55" s="65">
        <f t="shared" si="32"/>
        <v>82.008492631704328</v>
      </c>
      <c r="U55" s="65">
        <f t="shared" si="32"/>
        <v>79.345264077098491</v>
      </c>
      <c r="V55" s="65">
        <f t="shared" si="32"/>
        <v>79.134263245659298</v>
      </c>
      <c r="W55" s="65">
        <f t="shared" si="32"/>
        <v>80.196322111753616</v>
      </c>
      <c r="X55" s="65">
        <f t="shared" si="32"/>
        <v>77.650835251949772</v>
      </c>
      <c r="Y55" s="65">
        <f t="shared" si="32"/>
        <v>73.886264075563233</v>
      </c>
      <c r="Z55" s="65">
        <f t="shared" si="32"/>
        <v>80.540110849589098</v>
      </c>
      <c r="AA55" s="65">
        <f t="shared" si="32"/>
        <v>78.777558295481867</v>
      </c>
      <c r="AB55" s="65">
        <f t="shared" si="32"/>
        <v>73.941839451114063</v>
      </c>
      <c r="AC55" s="65">
        <f t="shared" si="32"/>
        <v>75.042400209093955</v>
      </c>
      <c r="AD55" s="65">
        <f t="shared" si="32"/>
        <v>67.783949862673126</v>
      </c>
      <c r="AE55" s="65">
        <f t="shared" si="32"/>
        <v>43.262846880506046</v>
      </c>
      <c r="AF55" s="65">
        <f t="shared" si="32"/>
        <v>36.692208601746742</v>
      </c>
      <c r="AG55" s="65">
        <f t="shared" si="32"/>
        <v>37.223040632967134</v>
      </c>
      <c r="AH55" s="65">
        <f t="shared" si="32"/>
        <v>40.972831317973423</v>
      </c>
      <c r="AI55" s="65">
        <f t="shared" si="32"/>
        <v>44.376846324178068</v>
      </c>
      <c r="AJ55" s="65">
        <f t="shared" si="32"/>
        <v>46.518429707310737</v>
      </c>
      <c r="AK55" s="65">
        <f t="shared" si="32"/>
        <v>40.187290219992512</v>
      </c>
      <c r="AL55" s="65">
        <f t="shared" si="32"/>
        <v>48.121904440441213</v>
      </c>
      <c r="AM55" s="65">
        <f t="shared" si="32"/>
        <v>46.850666431457356</v>
      </c>
      <c r="AN55" s="65">
        <f t="shared" si="32"/>
        <v>27.218077321447641</v>
      </c>
      <c r="AO55" s="65">
        <f t="shared" si="32"/>
        <v>39.425818967843021</v>
      </c>
      <c r="AP55" s="65">
        <f t="shared" si="32"/>
        <v>26.479176688456764</v>
      </c>
      <c r="AQ55" s="65">
        <f t="shared" si="32"/>
        <v>26.86582112211277</v>
      </c>
      <c r="AR55" s="65">
        <f t="shared" si="32"/>
        <v>21.768128398684944</v>
      </c>
      <c r="AS55" s="65">
        <f t="shared" si="32"/>
        <v>32.292221334007479</v>
      </c>
      <c r="AT55" s="65">
        <f t="shared" si="32"/>
        <v>30.657009484585782</v>
      </c>
      <c r="AU55" s="65">
        <f t="shared" si="32"/>
        <v>31.011745721765251</v>
      </c>
      <c r="AV55" s="65"/>
      <c r="AW55" s="65"/>
      <c r="AX55" s="66"/>
      <c r="AY55" s="65"/>
      <c r="AZ55" s="65"/>
      <c r="BA55" s="65"/>
      <c r="BB55" s="65"/>
      <c r="BC55" s="65"/>
      <c r="BD55" s="65"/>
      <c r="BE55" s="65"/>
      <c r="BF55" s="65"/>
      <c r="BG55" s="65"/>
      <c r="BH55" s="65"/>
    </row>
    <row r="56" spans="1:60" x14ac:dyDescent="0.35">
      <c r="A56" s="1" t="s">
        <v>34</v>
      </c>
      <c r="B56" s="1">
        <v>0</v>
      </c>
      <c r="C56" s="1">
        <f>+B56+1</f>
        <v>1</v>
      </c>
      <c r="D56" s="1">
        <f t="shared" ref="D56:AU56" si="33">+C56+1</f>
        <v>2</v>
      </c>
      <c r="E56" s="1">
        <f t="shared" si="33"/>
        <v>3</v>
      </c>
      <c r="F56" s="1">
        <f t="shared" si="33"/>
        <v>4</v>
      </c>
      <c r="G56" s="1">
        <f t="shared" si="33"/>
        <v>5</v>
      </c>
      <c r="H56" s="1">
        <f t="shared" si="33"/>
        <v>6</v>
      </c>
      <c r="I56" s="1">
        <f t="shared" si="33"/>
        <v>7</v>
      </c>
      <c r="J56" s="1">
        <f t="shared" si="33"/>
        <v>8</v>
      </c>
      <c r="K56" s="1">
        <f t="shared" si="33"/>
        <v>9</v>
      </c>
      <c r="L56" s="1">
        <f t="shared" si="33"/>
        <v>10</v>
      </c>
      <c r="M56" s="1">
        <f t="shared" si="33"/>
        <v>11</v>
      </c>
      <c r="N56" s="1">
        <f t="shared" si="33"/>
        <v>12</v>
      </c>
      <c r="O56" s="1">
        <f t="shared" si="33"/>
        <v>13</v>
      </c>
      <c r="P56" s="1">
        <f t="shared" si="33"/>
        <v>14</v>
      </c>
      <c r="Q56" s="1">
        <f t="shared" si="33"/>
        <v>15</v>
      </c>
      <c r="R56" s="1">
        <f t="shared" si="33"/>
        <v>16</v>
      </c>
      <c r="S56" s="1">
        <f t="shared" si="33"/>
        <v>17</v>
      </c>
      <c r="T56" s="1">
        <f t="shared" si="33"/>
        <v>18</v>
      </c>
      <c r="U56" s="1">
        <f t="shared" si="33"/>
        <v>19</v>
      </c>
      <c r="V56" s="1">
        <f t="shared" si="33"/>
        <v>20</v>
      </c>
      <c r="W56" s="1">
        <f t="shared" si="33"/>
        <v>21</v>
      </c>
      <c r="X56" s="1">
        <f t="shared" si="33"/>
        <v>22</v>
      </c>
      <c r="Y56" s="1">
        <f t="shared" si="33"/>
        <v>23</v>
      </c>
      <c r="Z56" s="1">
        <f t="shared" si="33"/>
        <v>24</v>
      </c>
      <c r="AA56" s="1">
        <f t="shared" si="33"/>
        <v>25</v>
      </c>
      <c r="AB56" s="1">
        <f t="shared" si="33"/>
        <v>26</v>
      </c>
      <c r="AC56" s="1">
        <f t="shared" si="33"/>
        <v>27</v>
      </c>
      <c r="AD56" s="1">
        <f t="shared" si="33"/>
        <v>28</v>
      </c>
      <c r="AE56" s="1">
        <f t="shared" si="33"/>
        <v>29</v>
      </c>
      <c r="AF56" s="1">
        <f t="shared" si="33"/>
        <v>30</v>
      </c>
      <c r="AG56" s="1">
        <f t="shared" si="33"/>
        <v>31</v>
      </c>
      <c r="AH56" s="1">
        <f t="shared" si="33"/>
        <v>32</v>
      </c>
      <c r="AI56" s="1">
        <f t="shared" si="33"/>
        <v>33</v>
      </c>
      <c r="AJ56" s="1">
        <f t="shared" si="33"/>
        <v>34</v>
      </c>
      <c r="AK56" s="1">
        <f t="shared" si="33"/>
        <v>35</v>
      </c>
      <c r="AL56" s="1">
        <f t="shared" si="33"/>
        <v>36</v>
      </c>
      <c r="AM56" s="1">
        <f t="shared" si="33"/>
        <v>37</v>
      </c>
      <c r="AN56" s="1">
        <f t="shared" si="33"/>
        <v>38</v>
      </c>
      <c r="AO56" s="1">
        <f t="shared" si="33"/>
        <v>39</v>
      </c>
      <c r="AP56" s="1">
        <f t="shared" si="33"/>
        <v>40</v>
      </c>
      <c r="AQ56" s="1">
        <f t="shared" si="33"/>
        <v>41</v>
      </c>
      <c r="AR56" s="1">
        <f t="shared" si="33"/>
        <v>42</v>
      </c>
      <c r="AS56" s="1">
        <f t="shared" si="33"/>
        <v>43</v>
      </c>
      <c r="AT56" s="1">
        <f t="shared" si="33"/>
        <v>44</v>
      </c>
      <c r="AU56" s="1">
        <f t="shared" si="33"/>
        <v>45</v>
      </c>
      <c r="AV56" s="67">
        <f>SUM(B53:AU53)</f>
        <v>-298030508.64818126</v>
      </c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spans="1:60" x14ac:dyDescent="0.35">
      <c r="A57" s="1" t="s">
        <v>43</v>
      </c>
      <c r="B57" s="68">
        <f>+(-B52/($B$12*1000))*100</f>
        <v>0.23828748995342333</v>
      </c>
      <c r="C57" s="68">
        <f t="shared" ref="C57:AU57" si="34">+(-C52/($B$12*1000))*100</f>
        <v>0.44671790747945461</v>
      </c>
      <c r="D57" s="68">
        <f t="shared" si="34"/>
        <v>0.66590439425701664</v>
      </c>
      <c r="E57" s="68">
        <f t="shared" si="34"/>
        <v>0.90930553692289762</v>
      </c>
      <c r="F57" s="68">
        <f t="shared" si="34"/>
        <v>1.2845200039676183</v>
      </c>
      <c r="G57" s="68">
        <f t="shared" si="34"/>
        <v>1.6841567422749246</v>
      </c>
      <c r="H57" s="68">
        <f t="shared" si="34"/>
        <v>2.1113799287764334</v>
      </c>
      <c r="I57" s="68">
        <f t="shared" si="34"/>
        <v>2.5823984210215216</v>
      </c>
      <c r="J57" s="68">
        <f t="shared" si="34"/>
        <v>3.0453984769347877</v>
      </c>
      <c r="K57" s="68">
        <f t="shared" si="34"/>
        <v>3.5458351195847282</v>
      </c>
      <c r="L57" s="68">
        <f t="shared" si="34"/>
        <v>4.1197302855526274</v>
      </c>
      <c r="M57" s="68">
        <f t="shared" si="34"/>
        <v>4.7560956295961594</v>
      </c>
      <c r="N57" s="68">
        <f t="shared" si="34"/>
        <v>5.2847197805195032</v>
      </c>
      <c r="O57" s="68">
        <f t="shared" si="34"/>
        <v>5.6983166191182839</v>
      </c>
      <c r="P57" s="68">
        <f t="shared" si="34"/>
        <v>6.0690534403036729</v>
      </c>
      <c r="Q57" s="68">
        <f t="shared" si="34"/>
        <v>6.4108014807125464</v>
      </c>
      <c r="R57" s="68">
        <f t="shared" si="34"/>
        <v>6.6882387991562045</v>
      </c>
      <c r="S57" s="68">
        <f t="shared" si="34"/>
        <v>6.9179125883586909</v>
      </c>
      <c r="T57" s="68">
        <f t="shared" si="34"/>
        <v>7.1133285669994235</v>
      </c>
      <c r="U57" s="68">
        <f t="shared" si="34"/>
        <v>7.3023984051656621</v>
      </c>
      <c r="V57" s="68">
        <f t="shared" si="34"/>
        <v>7.4909654547468838</v>
      </c>
      <c r="W57" s="68">
        <f t="shared" si="34"/>
        <v>7.682063257741949</v>
      </c>
      <c r="X57" s="68">
        <f t="shared" si="34"/>
        <v>7.8670954839916929</v>
      </c>
      <c r="Y57" s="68">
        <f t="shared" si="34"/>
        <v>8.0431572080777176</v>
      </c>
      <c r="Z57" s="68">
        <f t="shared" si="34"/>
        <v>8.2350742166269129</v>
      </c>
      <c r="AA57" s="68">
        <f t="shared" si="34"/>
        <v>8.4227912829358189</v>
      </c>
      <c r="AB57" s="68">
        <f t="shared" si="34"/>
        <v>8.5989854361892721</v>
      </c>
      <c r="AC57" s="68">
        <f t="shared" si="34"/>
        <v>8.7778020880483307</v>
      </c>
      <c r="AD57" s="68">
        <f t="shared" si="34"/>
        <v>8.9393227607673857</v>
      </c>
      <c r="AE57" s="68">
        <f t="shared" si="34"/>
        <v>9.0424127126813403</v>
      </c>
      <c r="AF57" s="68">
        <f t="shared" si="34"/>
        <v>9.1298456555669194</v>
      </c>
      <c r="AG57" s="68">
        <f t="shared" si="34"/>
        <v>9.2185435047755622</v>
      </c>
      <c r="AH57" s="68">
        <f t="shared" si="34"/>
        <v>9.3161766360860128</v>
      </c>
      <c r="AI57" s="68">
        <f t="shared" si="34"/>
        <v>9.4219211093123878</v>
      </c>
      <c r="AJ57" s="68">
        <f t="shared" si="34"/>
        <v>9.5327687078276906</v>
      </c>
      <c r="AK57" s="68">
        <f t="shared" si="34"/>
        <v>9.6285299929732133</v>
      </c>
      <c r="AL57" s="68">
        <f t="shared" si="34"/>
        <v>9.7431984711821276</v>
      </c>
      <c r="AM57" s="68">
        <f t="shared" si="34"/>
        <v>9.8548377482481033</v>
      </c>
      <c r="AN57" s="68">
        <f t="shared" si="34"/>
        <v>9.9196950215109645</v>
      </c>
      <c r="AO57" s="68">
        <f t="shared" si="34"/>
        <v>10.013641815923021</v>
      </c>
      <c r="AP57" s="68">
        <f t="shared" si="34"/>
        <v>10.07673838141428</v>
      </c>
      <c r="AQ57" s="68">
        <f t="shared" si="34"/>
        <v>10.140756272221541</v>
      </c>
      <c r="AR57" s="68">
        <f t="shared" si="34"/>
        <v>10.192626998992608</v>
      </c>
      <c r="AS57" s="68">
        <f t="shared" si="34"/>
        <v>10.26957532265962</v>
      </c>
      <c r="AT57" s="68">
        <f t="shared" si="34"/>
        <v>10.342627141055225</v>
      </c>
      <c r="AU57" s="68">
        <f t="shared" si="34"/>
        <v>10.416524251526358</v>
      </c>
      <c r="AV57" s="69" t="s">
        <v>44</v>
      </c>
      <c r="AW57" s="70">
        <f>+AV56/(AU12*1000)</f>
        <v>-2.9545482214516634E-3</v>
      </c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1:60" x14ac:dyDescent="0.35">
      <c r="A58" s="60" t="s">
        <v>45</v>
      </c>
      <c r="B58" s="61">
        <f>+B52/$B$52*100</f>
        <v>100</v>
      </c>
      <c r="C58" s="61">
        <f t="shared" ref="C58:AU58" si="35">+C52/$B$52*100</f>
        <v>187.47014690816206</v>
      </c>
      <c r="D58" s="61">
        <f t="shared" si="35"/>
        <v>279.45419811471311</v>
      </c>
      <c r="E58" s="61">
        <f t="shared" si="35"/>
        <v>381.6001994484202</v>
      </c>
      <c r="F58" s="61">
        <f t="shared" si="35"/>
        <v>539.06313093427445</v>
      </c>
      <c r="G58" s="61">
        <f t="shared" si="35"/>
        <v>706.77514065220839</v>
      </c>
      <c r="H58" s="61">
        <f t="shared" si="35"/>
        <v>886.06411070473405</v>
      </c>
      <c r="I58" s="61">
        <f t="shared" si="35"/>
        <v>1083.7322687507801</v>
      </c>
      <c r="J58" s="61">
        <f t="shared" si="35"/>
        <v>1278.0354006540813</v>
      </c>
      <c r="K58" s="61">
        <f t="shared" si="35"/>
        <v>1488.0492132750283</v>
      </c>
      <c r="L58" s="61">
        <f t="shared" si="35"/>
        <v>1728.8907136324642</v>
      </c>
      <c r="M58" s="61">
        <f t="shared" si="35"/>
        <v>1995.9485202205983</v>
      </c>
      <c r="N58" s="61">
        <f t="shared" si="35"/>
        <v>2217.7915347349863</v>
      </c>
      <c r="O58" s="61">
        <f t="shared" si="35"/>
        <v>2391.3620560744084</v>
      </c>
      <c r="P58" s="61">
        <f t="shared" si="35"/>
        <v>2546.9458935884363</v>
      </c>
      <c r="Q58" s="61">
        <f t="shared" si="35"/>
        <v>2690.3642662758457</v>
      </c>
      <c r="R58" s="61">
        <f t="shared" si="35"/>
        <v>2806.7939279831753</v>
      </c>
      <c r="S58" s="61">
        <f t="shared" si="35"/>
        <v>2903.1790924949082</v>
      </c>
      <c r="T58" s="61">
        <f t="shared" si="35"/>
        <v>2985.187585126615</v>
      </c>
      <c r="U58" s="61">
        <f t="shared" si="35"/>
        <v>3064.5328492037161</v>
      </c>
      <c r="V58" s="61">
        <f t="shared" si="35"/>
        <v>3143.6671124493773</v>
      </c>
      <c r="W58" s="61">
        <f t="shared" si="35"/>
        <v>3223.8634345611331</v>
      </c>
      <c r="X58" s="61">
        <f t="shared" si="35"/>
        <v>3301.5142698130853</v>
      </c>
      <c r="Y58" s="61">
        <f t="shared" si="35"/>
        <v>3375.4005338886509</v>
      </c>
      <c r="Z58" s="61">
        <f t="shared" si="35"/>
        <v>3455.9406447382421</v>
      </c>
      <c r="AA58" s="61">
        <f t="shared" si="35"/>
        <v>3534.7182030337267</v>
      </c>
      <c r="AB58" s="61">
        <f t="shared" si="35"/>
        <v>3608.6600424848434</v>
      </c>
      <c r="AC58" s="61">
        <f t="shared" si="35"/>
        <v>3683.7024426939392</v>
      </c>
      <c r="AD58" s="61">
        <f t="shared" si="35"/>
        <v>3751.4863925566146</v>
      </c>
      <c r="AE58" s="61">
        <f t="shared" si="35"/>
        <v>3794.7492394371216</v>
      </c>
      <c r="AF58" s="61">
        <f t="shared" si="35"/>
        <v>3831.44144803887</v>
      </c>
      <c r="AG58" s="61">
        <f t="shared" si="35"/>
        <v>3868.6644886718377</v>
      </c>
      <c r="AH58" s="61">
        <f t="shared" si="35"/>
        <v>3909.6373199898126</v>
      </c>
      <c r="AI58" s="61">
        <f t="shared" si="35"/>
        <v>3954.0141663139921</v>
      </c>
      <c r="AJ58" s="61">
        <f t="shared" si="35"/>
        <v>4000.532596021304</v>
      </c>
      <c r="AK58" s="61">
        <f t="shared" si="35"/>
        <v>4040.7198862412984</v>
      </c>
      <c r="AL58" s="61">
        <f t="shared" si="35"/>
        <v>4088.8417906817408</v>
      </c>
      <c r="AM58" s="61">
        <f t="shared" si="35"/>
        <v>4135.6924571131995</v>
      </c>
      <c r="AN58" s="61">
        <f t="shared" si="35"/>
        <v>4162.9105344346481</v>
      </c>
      <c r="AO58" s="61">
        <f t="shared" si="35"/>
        <v>4202.3363534024929</v>
      </c>
      <c r="AP58" s="61">
        <f t="shared" si="35"/>
        <v>4228.8155300909502</v>
      </c>
      <c r="AQ58" s="61">
        <f t="shared" si="35"/>
        <v>4255.6813512130648</v>
      </c>
      <c r="AR58" s="61">
        <f t="shared" si="35"/>
        <v>4277.4494796117506</v>
      </c>
      <c r="AS58" s="61">
        <f t="shared" si="35"/>
        <v>4309.7417009457586</v>
      </c>
      <c r="AT58" s="61">
        <f t="shared" si="35"/>
        <v>4340.3987104303451</v>
      </c>
      <c r="AU58" s="61">
        <f t="shared" si="35"/>
        <v>4371.4104561521108</v>
      </c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</row>
    <row r="59" spans="1:60" x14ac:dyDescent="0.3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</row>
    <row r="60" spans="1:60" x14ac:dyDescent="0.35">
      <c r="A60" s="71" t="s">
        <v>46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1:60" x14ac:dyDescent="0.35">
      <c r="A61" s="1" t="s">
        <v>47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1:60" x14ac:dyDescent="0.35">
      <c r="A62" s="1" t="s">
        <v>48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 t="s">
        <v>49</v>
      </c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1:60" x14ac:dyDescent="0.35">
      <c r="A63" s="1" t="s">
        <v>50</v>
      </c>
      <c r="B63" s="59">
        <f>+PV(0.1,0,0,-B11)</f>
        <v>762307.42922441685</v>
      </c>
      <c r="C63" s="59">
        <f>+PV(0.1,1,0,-C11)</f>
        <v>666791.42823441175</v>
      </c>
      <c r="D63" s="59">
        <f>+PV(0.1,2,0,-D11)</f>
        <v>701201.25604911009</v>
      </c>
      <c r="E63" s="59">
        <f>+PV(0.1,3,0,-E11)</f>
        <v>778666.55682249891</v>
      </c>
      <c r="F63" s="59">
        <f>+PV(0.1,4,0,-F11)</f>
        <v>1200351.6249911853</v>
      </c>
      <c r="G63" s="59">
        <f>+PV(0.1,5,0,-G11)</f>
        <v>1278481.1097813498</v>
      </c>
      <c r="H63" s="59">
        <f>+PV(0.1,6,0,-H11)</f>
        <v>1366733.1384903044</v>
      </c>
      <c r="I63" s="59">
        <f>+PV(0.1,7,0,-I11)</f>
        <v>1506839.0539960254</v>
      </c>
      <c r="J63" s="59">
        <f>+PV(0.1,8,0,-J11)</f>
        <v>1481187.2097145417</v>
      </c>
      <c r="K63" s="59">
        <f>+PV(0.1,9,0,-K11)</f>
        <v>1600950.8960068782</v>
      </c>
      <c r="L63" s="59">
        <f>+PV(0.1,10,0,-L11)</f>
        <v>1835952.6498802323</v>
      </c>
      <c r="M63" s="59">
        <f>+PV(0.1,11,0,-M11)</f>
        <v>2035801.4999450601</v>
      </c>
      <c r="N63" s="59">
        <f>+PV(0.1,12,0,-N11)</f>
        <v>1691125.7808585318</v>
      </c>
      <c r="O63" s="59">
        <f>+PV(0.1,13,0,-O11)</f>
        <v>1323140.9791139269</v>
      </c>
      <c r="P63" s="59">
        <f>+PV(0.1,14,0,-P11)</f>
        <v>1186027.1520418457</v>
      </c>
      <c r="Q63" s="59">
        <f>+PV(0.1,15,0,-Q11)</f>
        <v>1093288.9098688515</v>
      </c>
      <c r="R63" s="59">
        <f>+PV(0.1,16,0,-R11)</f>
        <v>887551.96101580269</v>
      </c>
      <c r="S63" s="59">
        <f>+PV(0.1,17,0,-S11)</f>
        <v>734751.26974309376</v>
      </c>
      <c r="T63" s="59">
        <f>+PV(0.1,18,0,-T11)</f>
        <v>625156.8319264407</v>
      </c>
      <c r="U63" s="59">
        <f>+PV(0.1,19,0,-U11)</f>
        <v>604854.84279745421</v>
      </c>
      <c r="V63" s="59">
        <f>+PV(0.1,20,0,-V11)</f>
        <v>603246.36778366799</v>
      </c>
      <c r="W63" s="59">
        <f>+PV(0.1,21,0,-W11)</f>
        <v>611342.52142264182</v>
      </c>
      <c r="X63" s="59">
        <f>+PV(0.1,22,0,-X11)</f>
        <v>591938.08598042559</v>
      </c>
      <c r="Y63" s="59">
        <f>+PV(0.1,23,0,-Y11)</f>
        <v>563240.48022438993</v>
      </c>
      <c r="Z63" s="59">
        <f>+PV(0.1,24,0,-Z11)</f>
        <v>613963.24851199845</v>
      </c>
      <c r="AA63" s="59">
        <f>+PV(0.1,25,0,-AA11)</f>
        <v>600527.17944805417</v>
      </c>
      <c r="AB63" s="59">
        <f>+PV(0.1,26,0,-AB11)</f>
        <v>563664.13544103329</v>
      </c>
      <c r="AC63" s="59">
        <f>+PV(0.1,27,0,-AC11)</f>
        <v>572053.79186224262</v>
      </c>
      <c r="AD63" s="59">
        <f>+PV(0.1,28,0,-AD11)</f>
        <v>516722.0856249113</v>
      </c>
      <c r="AE63" s="59">
        <f>+PV(0.1,29,0,-AE11)</f>
        <v>329795.89586408151</v>
      </c>
      <c r="AF63" s="59">
        <f>+PV(0.1,30,0,-AF11)</f>
        <v>279707.43211763597</v>
      </c>
      <c r="AG63" s="59">
        <f>+PV(0.1,31,0,-AG11)</f>
        <v>839492.37916244369</v>
      </c>
      <c r="AH63" s="59">
        <f>+PV(0.1,32,0,-AH11)</f>
        <v>788846.38193824783</v>
      </c>
      <c r="AI63" s="59">
        <f>+PV(0.1,33,0,-AI11)</f>
        <v>674151.0823537336</v>
      </c>
      <c r="AJ63" s="59">
        <f>+PV(0.1,34,0,-AJ11)</f>
        <v>623083.67949258804</v>
      </c>
      <c r="AK63" s="59">
        <f>+PV(0.1,35,0,-AK11)</f>
        <v>1173154.6434298225</v>
      </c>
      <c r="AL63" s="59">
        <f>+PV(0.1,36,0,-AL11)</f>
        <v>730260.63158760325</v>
      </c>
      <c r="AM63" s="59">
        <f>+PV(0.1,37,0,-AM11)</f>
        <v>779963.13083464617</v>
      </c>
      <c r="AN63" s="59">
        <f>+PV(0.1,38,0,-AN11)</f>
        <v>2518930.6025144225</v>
      </c>
      <c r="AO63" s="59">
        <f>+PV(0.1,39,0,-AO11)</f>
        <v>1337698.1405008084</v>
      </c>
      <c r="AP63" s="59">
        <f>+PV(0.1,40,0,-AP11)</f>
        <v>2266239.5561388917</v>
      </c>
      <c r="AQ63" s="59">
        <f>+PV(0.1,41,0,-AQ11)</f>
        <v>2387058.7175656292</v>
      </c>
      <c r="AR63" s="59">
        <f>+PV(0.1,42,0,-AR11)</f>
        <v>2769446.980604352</v>
      </c>
      <c r="AS63" s="59">
        <f>+PV(0.1,43,0,-AS11)</f>
        <v>1966587.7360283688</v>
      </c>
      <c r="AT63" s="59">
        <f>+PV(0.1,44,0,-AT11)</f>
        <v>1944678.3610103736</v>
      </c>
      <c r="AU63" s="59">
        <f>+PV(0.1,45,0,-AU11)</f>
        <v>1552037.1213165687</v>
      </c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x14ac:dyDescent="0.35">
      <c r="A64" s="1" t="s">
        <v>51</v>
      </c>
      <c r="B64" s="59">
        <f>+PV(0.1,0,0,-B28)</f>
        <v>7580027.0562787941</v>
      </c>
      <c r="C64" s="59">
        <f>+PV(0.1,1,0,-C28)</f>
        <v>6630260.8018053025</v>
      </c>
      <c r="D64" s="59">
        <f>+PV(0.1,2,0,-D28)</f>
        <v>6972415.9689177079</v>
      </c>
      <c r="E64" s="59">
        <f>+PV(0.1,3,0,-E28)</f>
        <v>7742694.5380016742</v>
      </c>
      <c r="F64" s="59">
        <f>+PV(0.1,4,0,-F28)</f>
        <v>11935732.810237143</v>
      </c>
      <c r="G64" s="59">
        <f>+PV(0.1,5,0,-G28)</f>
        <v>12712615.713247949</v>
      </c>
      <c r="H64" s="59">
        <f>+PV(0.1,6,0,-H28)</f>
        <v>13590152.438904645</v>
      </c>
      <c r="I64" s="59">
        <f>+PV(0.1,7,0,-I28)</f>
        <v>14983299.861537766</v>
      </c>
      <c r="J64" s="59">
        <f>+PV(0.1,8,0,-J28)</f>
        <v>14728229.969466895</v>
      </c>
      <c r="K64" s="59">
        <f>+PV(0.1,9,0,-K28)</f>
        <v>15919103.818589967</v>
      </c>
      <c r="L64" s="59">
        <f>+PV(0.1,10,0,-L28)</f>
        <v>18255850.889840912</v>
      </c>
      <c r="M64" s="59">
        <f>+PV(0.1,11,0,-M28)</f>
        <v>20243053.995284658</v>
      </c>
      <c r="N64" s="59">
        <f>+PV(0.1,12,0,-N28)</f>
        <v>16815760.522654612</v>
      </c>
      <c r="O64" s="59">
        <f>+PV(0.1,13,0,-O28)</f>
        <v>13156692.47925196</v>
      </c>
      <c r="P64" s="59">
        <f>+PV(0.1,14,0,-P28)</f>
        <v>11793296.978759812</v>
      </c>
      <c r="Q64" s="59">
        <f>+PV(0.1,15,0,-Q28)</f>
        <v>10871151.453380067</v>
      </c>
      <c r="R64" s="59">
        <f>+PV(0.1,16,0,-R28)</f>
        <v>8825399.8589491863</v>
      </c>
      <c r="S64" s="59">
        <f>+PV(0.1,17,0,-S28)</f>
        <v>7306021.5482279602</v>
      </c>
      <c r="T64" s="59">
        <f>+PV(0.1,18,0,-T28)</f>
        <v>6216265.9299295899</v>
      </c>
      <c r="U64" s="59">
        <f>+PV(0.1,19,0,-U28)</f>
        <v>6014392.4849199234</v>
      </c>
      <c r="V64" s="59">
        <f>+PV(0.1,20,0,-V28)</f>
        <v>5998398.5648078602</v>
      </c>
      <c r="W64" s="59">
        <f>+PV(0.1,21,0,-W28)</f>
        <v>6078902.9142114185</v>
      </c>
      <c r="X64" s="59">
        <f>+PV(0.1,22,0,-X28)</f>
        <v>5885954.3215242643</v>
      </c>
      <c r="Y64" s="59">
        <f>+PV(0.1,23,0,-Y28)</f>
        <v>5600598.8078012923</v>
      </c>
      <c r="Z64" s="59">
        <f>+PV(0.1,24,0,-Z28)</f>
        <v>6104962.1935557863</v>
      </c>
      <c r="AA64" s="59">
        <f>+PV(0.1,25,0,-AA28)</f>
        <v>5971360.2330733258</v>
      </c>
      <c r="AB64" s="59">
        <f>+PV(0.1,26,0,-AB28)</f>
        <v>5604811.4363046736</v>
      </c>
      <c r="AC64" s="59">
        <f>+PV(0.1,27,0,-AC28)</f>
        <v>5688234.2395303361</v>
      </c>
      <c r="AD64" s="59">
        <f>+PV(0.1,28,0,-AD28)</f>
        <v>5138041.7394050751</v>
      </c>
      <c r="AE64" s="59">
        <f>+PV(0.1,29,0,-AE28)</f>
        <v>3279335.4988588248</v>
      </c>
      <c r="AF64" s="59">
        <f>+PV(0.1,30,0,-AF28)</f>
        <v>2781279.3395586582</v>
      </c>
      <c r="AG64" s="59">
        <f>+PV(0.1,31,0,-AG28)</f>
        <v>3377254.9261826701</v>
      </c>
      <c r="AH64" s="59">
        <f>+PV(0.1,32,0,-AH28)</f>
        <v>3582259.1444636048</v>
      </c>
      <c r="AI64" s="59">
        <f>+PV(0.1,33,0,-AI28)</f>
        <v>3699640.04406498</v>
      </c>
      <c r="AJ64" s="59">
        <f>+PV(0.1,34,0,-AJ28)</f>
        <v>3794579.7918454064</v>
      </c>
      <c r="AK64" s="59">
        <f>+PV(0.1,35,0,-AK28)</f>
        <v>3913011.4163395558</v>
      </c>
      <c r="AL64" s="59">
        <f>+PV(0.1,36,0,-AL28)</f>
        <v>4011077.1555359154</v>
      </c>
      <c r="AM64" s="59">
        <f>+PV(0.1,37,0,-AM28)</f>
        <v>3974110.2115378915</v>
      </c>
      <c r="AN64" s="59">
        <f>+PV(0.1,38,0,-AN28)</f>
        <v>4374582.8021655949</v>
      </c>
      <c r="AO64" s="59">
        <f>+PV(0.1,39,0,-AO28)</f>
        <v>4025639.9383983691</v>
      </c>
      <c r="AP64" s="59">
        <f>+PV(0.1,40,0,-AP28)</f>
        <v>4071515.582310216</v>
      </c>
      <c r="AQ64" s="59">
        <f>+PV(0.1,41,0,-AQ28)</f>
        <v>4218695.0771772321</v>
      </c>
      <c r="AR64" s="59">
        <f>+PV(0.1,42,0,-AR28)</f>
        <v>4253536.9428838929</v>
      </c>
      <c r="AS64" s="59">
        <f>+PV(0.1,43,0,-AS28)</f>
        <v>4168180.8479288379</v>
      </c>
      <c r="AT64" s="59">
        <f>+PV(0.1,44,0,-AT28)</f>
        <v>4034787.3137089009</v>
      </c>
      <c r="AU64" s="59">
        <f>+PV(0.1,45,0,-AU28)</f>
        <v>3666330.9960815548</v>
      </c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 x14ac:dyDescent="0.35">
      <c r="A65" s="1" t="s">
        <v>52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 x14ac:dyDescent="0.35">
      <c r="A67" s="1" t="s">
        <v>53</v>
      </c>
      <c r="B67" s="59">
        <f>+B53</f>
        <v>-6817719.6270543775</v>
      </c>
      <c r="C67" s="59">
        <f t="shared" ref="C67:AU67" si="36">+C53</f>
        <v>-5963469.3735708902</v>
      </c>
      <c r="D67" s="59">
        <f t="shared" si="36"/>
        <v>-6271214.7128685974</v>
      </c>
      <c r="E67" s="59">
        <f t="shared" si="36"/>
        <v>-6964027.9811791759</v>
      </c>
      <c r="F67" s="59">
        <f t="shared" si="36"/>
        <v>-10735381.185245957</v>
      </c>
      <c r="G67" s="59">
        <f t="shared" si="36"/>
        <v>-11434134.603466598</v>
      </c>
      <c r="H67" s="59">
        <f t="shared" si="36"/>
        <v>-12223419.300414341</v>
      </c>
      <c r="I67" s="59">
        <f t="shared" si="36"/>
        <v>-13476460.807541741</v>
      </c>
      <c r="J67" s="59">
        <f t="shared" si="36"/>
        <v>-13247042.759752352</v>
      </c>
      <c r="K67" s="59">
        <f t="shared" si="36"/>
        <v>-14318152.922583088</v>
      </c>
      <c r="L67" s="59">
        <f>+L53</f>
        <v>-16419898.23996068</v>
      </c>
      <c r="M67" s="59">
        <f t="shared" si="36"/>
        <v>-18207252.495339599</v>
      </c>
      <c r="N67" s="59">
        <f t="shared" si="36"/>
        <v>-15124634.74179608</v>
      </c>
      <c r="O67" s="59">
        <f t="shared" si="36"/>
        <v>-11833551.500138033</v>
      </c>
      <c r="P67" s="59">
        <f>+P53</f>
        <v>-10607269.826717965</v>
      </c>
      <c r="Q67" s="59">
        <f t="shared" si="36"/>
        <v>-9777862.5435112156</v>
      </c>
      <c r="R67" s="59">
        <f t="shared" si="36"/>
        <v>-7937847.8979333835</v>
      </c>
      <c r="S67" s="59">
        <f t="shared" si="36"/>
        <v>-6571270.278484866</v>
      </c>
      <c r="T67" s="59">
        <f t="shared" si="36"/>
        <v>-5591109.098003149</v>
      </c>
      <c r="U67" s="59">
        <f t="shared" si="36"/>
        <v>-5409537.6421224698</v>
      </c>
      <c r="V67" s="59">
        <f t="shared" si="36"/>
        <v>-5395152.1970241927</v>
      </c>
      <c r="W67" s="59">
        <f t="shared" si="36"/>
        <v>-5467560.3927887762</v>
      </c>
      <c r="X67" s="59">
        <f t="shared" si="36"/>
        <v>-5294016.2355438387</v>
      </c>
      <c r="Y67" s="59">
        <f t="shared" si="36"/>
        <v>-5037358.3275769027</v>
      </c>
      <c r="Z67" s="59">
        <f t="shared" si="36"/>
        <v>-5490998.9450437883</v>
      </c>
      <c r="AA67" s="59">
        <f t="shared" si="36"/>
        <v>-5370833.0536252717</v>
      </c>
      <c r="AB67" s="59">
        <f t="shared" si="36"/>
        <v>-5041147.3008636404</v>
      </c>
      <c r="AC67" s="59">
        <f t="shared" si="36"/>
        <v>-5116180.4476680942</v>
      </c>
      <c r="AD67" s="59">
        <f t="shared" si="36"/>
        <v>-4621319.6537801642</v>
      </c>
      <c r="AE67" s="59">
        <f t="shared" si="36"/>
        <v>-2949539.6029947433</v>
      </c>
      <c r="AF67" s="59">
        <f t="shared" si="36"/>
        <v>-2501571.9074410223</v>
      </c>
      <c r="AG67" s="59">
        <f t="shared" si="36"/>
        <v>-2537762.5470202263</v>
      </c>
      <c r="AH67" s="59">
        <f t="shared" si="36"/>
        <v>-2793412.7625253568</v>
      </c>
      <c r="AI67" s="59">
        <f t="shared" si="36"/>
        <v>-3025488.961711247</v>
      </c>
      <c r="AJ67" s="59">
        <f t="shared" si="36"/>
        <v>-3171496.1123528183</v>
      </c>
      <c r="AK67" s="59">
        <f t="shared" si="36"/>
        <v>-2739856.7729097335</v>
      </c>
      <c r="AL67" s="59">
        <f t="shared" si="36"/>
        <v>-3280816.5239483123</v>
      </c>
      <c r="AM67" s="59">
        <f t="shared" si="36"/>
        <v>-3194147.080703245</v>
      </c>
      <c r="AN67" s="59">
        <f t="shared" si="36"/>
        <v>-1855652.1996511722</v>
      </c>
      <c r="AO67" s="59">
        <f t="shared" si="36"/>
        <v>-2687941.797897561</v>
      </c>
      <c r="AP67" s="59">
        <f t="shared" si="36"/>
        <v>-1805276.0261713243</v>
      </c>
      <c r="AQ67" s="59">
        <f t="shared" si="36"/>
        <v>-1831636.359611603</v>
      </c>
      <c r="AR67" s="59">
        <f t="shared" si="36"/>
        <v>-1484089.9622795412</v>
      </c>
      <c r="AS67" s="59">
        <f t="shared" si="36"/>
        <v>-2201593.1119004688</v>
      </c>
      <c r="AT67" s="59">
        <f t="shared" si="36"/>
        <v>-2090108.9526985269</v>
      </c>
      <c r="AU67" s="59">
        <f t="shared" si="36"/>
        <v>-2114293.8747649859</v>
      </c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 x14ac:dyDescent="0.35">
      <c r="A69" s="1" t="s">
        <v>54</v>
      </c>
      <c r="B69" s="59">
        <f>+B63-B64</f>
        <v>-6817719.6270543775</v>
      </c>
      <c r="C69" s="59">
        <f t="shared" ref="C69:AU69" si="37">+C63-C64</f>
        <v>-5963469.3735708911</v>
      </c>
      <c r="D69" s="59">
        <f t="shared" si="37"/>
        <v>-6271214.7128685974</v>
      </c>
      <c r="E69" s="59">
        <f t="shared" si="37"/>
        <v>-6964027.981179175</v>
      </c>
      <c r="F69" s="59">
        <f t="shared" si="37"/>
        <v>-10735381.185245957</v>
      </c>
      <c r="G69" s="59">
        <f t="shared" si="37"/>
        <v>-11434134.6034666</v>
      </c>
      <c r="H69" s="59">
        <f t="shared" si="37"/>
        <v>-12223419.300414341</v>
      </c>
      <c r="I69" s="59">
        <f t="shared" si="37"/>
        <v>-13476460.807541741</v>
      </c>
      <c r="J69" s="59">
        <f t="shared" si="37"/>
        <v>-13247042.759752354</v>
      </c>
      <c r="K69" s="59">
        <f t="shared" si="37"/>
        <v>-14318152.922583088</v>
      </c>
      <c r="L69" s="59">
        <f t="shared" si="37"/>
        <v>-16419898.23996068</v>
      </c>
      <c r="M69" s="59">
        <f t="shared" si="37"/>
        <v>-18207252.495339599</v>
      </c>
      <c r="N69" s="59">
        <f t="shared" si="37"/>
        <v>-15124634.74179608</v>
      </c>
      <c r="O69" s="59">
        <f t="shared" si="37"/>
        <v>-11833551.500138033</v>
      </c>
      <c r="P69" s="59">
        <f t="shared" si="37"/>
        <v>-10607269.826717967</v>
      </c>
      <c r="Q69" s="59">
        <f t="shared" si="37"/>
        <v>-9777862.5435112156</v>
      </c>
      <c r="R69" s="59">
        <f t="shared" si="37"/>
        <v>-7937847.8979333835</v>
      </c>
      <c r="S69" s="59">
        <f t="shared" si="37"/>
        <v>-6571270.278484866</v>
      </c>
      <c r="T69" s="59">
        <f t="shared" si="37"/>
        <v>-5591109.098003149</v>
      </c>
      <c r="U69" s="59">
        <f t="shared" si="37"/>
        <v>-5409537.6421224689</v>
      </c>
      <c r="V69" s="59">
        <f t="shared" si="37"/>
        <v>-5395152.1970241927</v>
      </c>
      <c r="W69" s="59">
        <f t="shared" si="37"/>
        <v>-5467560.3927887771</v>
      </c>
      <c r="X69" s="59">
        <f t="shared" si="37"/>
        <v>-5294016.2355438387</v>
      </c>
      <c r="Y69" s="59">
        <f t="shared" si="37"/>
        <v>-5037358.3275769027</v>
      </c>
      <c r="Z69" s="59">
        <f t="shared" si="37"/>
        <v>-5490998.9450437874</v>
      </c>
      <c r="AA69" s="59">
        <f t="shared" si="37"/>
        <v>-5370833.0536252717</v>
      </c>
      <c r="AB69" s="59">
        <f t="shared" si="37"/>
        <v>-5041147.3008636404</v>
      </c>
      <c r="AC69" s="59">
        <f t="shared" si="37"/>
        <v>-5116180.4476680933</v>
      </c>
      <c r="AD69" s="59">
        <f t="shared" si="37"/>
        <v>-4621319.6537801642</v>
      </c>
      <c r="AE69" s="59">
        <f t="shared" si="37"/>
        <v>-2949539.6029947433</v>
      </c>
      <c r="AF69" s="59">
        <f t="shared" si="37"/>
        <v>-2501571.9074410223</v>
      </c>
      <c r="AG69" s="59">
        <f t="shared" si="37"/>
        <v>-2537762.5470202263</v>
      </c>
      <c r="AH69" s="59">
        <f t="shared" si="37"/>
        <v>-2793412.7625253568</v>
      </c>
      <c r="AI69" s="59">
        <f t="shared" si="37"/>
        <v>-3025488.9617112465</v>
      </c>
      <c r="AJ69" s="59">
        <f t="shared" si="37"/>
        <v>-3171496.1123528183</v>
      </c>
      <c r="AK69" s="59">
        <f t="shared" si="37"/>
        <v>-2739856.7729097335</v>
      </c>
      <c r="AL69" s="59">
        <f t="shared" si="37"/>
        <v>-3280816.5239483123</v>
      </c>
      <c r="AM69" s="59">
        <f t="shared" si="37"/>
        <v>-3194147.0807032455</v>
      </c>
      <c r="AN69" s="59">
        <f t="shared" si="37"/>
        <v>-1855652.1996511724</v>
      </c>
      <c r="AO69" s="59">
        <f t="shared" si="37"/>
        <v>-2687941.7978975605</v>
      </c>
      <c r="AP69" s="59">
        <f t="shared" si="37"/>
        <v>-1805276.0261713243</v>
      </c>
      <c r="AQ69" s="59">
        <f t="shared" si="37"/>
        <v>-1831636.359611603</v>
      </c>
      <c r="AR69" s="59">
        <f t="shared" si="37"/>
        <v>-1484089.962279541</v>
      </c>
      <c r="AS69" s="59">
        <f t="shared" si="37"/>
        <v>-2201593.1119004693</v>
      </c>
      <c r="AT69" s="59">
        <f t="shared" si="37"/>
        <v>-2090108.9526985274</v>
      </c>
      <c r="AU69" s="59">
        <f t="shared" si="37"/>
        <v>-2114293.8747649863</v>
      </c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x14ac:dyDescent="0.35">
      <c r="A71" s="1" t="s">
        <v>55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 x14ac:dyDescent="0.35">
      <c r="A72" s="1" t="s">
        <v>56</v>
      </c>
      <c r="B72" s="59">
        <f>+B63-B67</f>
        <v>7580027.0562787941</v>
      </c>
      <c r="C72" s="59">
        <f t="shared" ref="C72:AU72" si="38">+C63-C67</f>
        <v>6630260.8018053016</v>
      </c>
      <c r="D72" s="59">
        <f t="shared" si="38"/>
        <v>6972415.968917707</v>
      </c>
      <c r="E72" s="59">
        <f t="shared" si="38"/>
        <v>7742694.5380016752</v>
      </c>
      <c r="F72" s="59">
        <f t="shared" si="38"/>
        <v>11935732.810237143</v>
      </c>
      <c r="G72" s="59">
        <f t="shared" si="38"/>
        <v>12712615.713247947</v>
      </c>
      <c r="H72" s="59">
        <f t="shared" si="38"/>
        <v>13590152.438904645</v>
      </c>
      <c r="I72" s="59">
        <f t="shared" si="38"/>
        <v>14983299.861537766</v>
      </c>
      <c r="J72" s="59">
        <f t="shared" si="38"/>
        <v>14728229.969466893</v>
      </c>
      <c r="K72" s="59">
        <f t="shared" si="38"/>
        <v>15919103.818589967</v>
      </c>
      <c r="L72" s="59">
        <f t="shared" si="38"/>
        <v>18255850.889840912</v>
      </c>
      <c r="M72" s="59">
        <f t="shared" si="38"/>
        <v>20243053.995284658</v>
      </c>
      <c r="N72" s="59">
        <f t="shared" si="38"/>
        <v>16815760.522654612</v>
      </c>
      <c r="O72" s="59">
        <f t="shared" si="38"/>
        <v>13156692.47925196</v>
      </c>
      <c r="P72" s="59">
        <f t="shared" si="38"/>
        <v>11793296.97875981</v>
      </c>
      <c r="Q72" s="59">
        <f t="shared" si="38"/>
        <v>10871151.453380067</v>
      </c>
      <c r="R72" s="59">
        <f t="shared" si="38"/>
        <v>8825399.8589491863</v>
      </c>
      <c r="S72" s="59">
        <f t="shared" si="38"/>
        <v>7306021.5482279602</v>
      </c>
      <c r="T72" s="59">
        <f t="shared" si="38"/>
        <v>6216265.9299295899</v>
      </c>
      <c r="U72" s="59">
        <f t="shared" si="38"/>
        <v>6014392.4849199243</v>
      </c>
      <c r="V72" s="59">
        <f t="shared" si="38"/>
        <v>5998398.5648078602</v>
      </c>
      <c r="W72" s="59">
        <f t="shared" si="38"/>
        <v>6078902.9142114185</v>
      </c>
      <c r="X72" s="59">
        <f t="shared" si="38"/>
        <v>5885954.3215242643</v>
      </c>
      <c r="Y72" s="59">
        <f t="shared" si="38"/>
        <v>5600598.8078012923</v>
      </c>
      <c r="Z72" s="59">
        <f t="shared" si="38"/>
        <v>6104962.1935557872</v>
      </c>
      <c r="AA72" s="59">
        <f t="shared" si="38"/>
        <v>5971360.2330733258</v>
      </c>
      <c r="AB72" s="59">
        <f t="shared" si="38"/>
        <v>5604811.4363046736</v>
      </c>
      <c r="AC72" s="59">
        <f t="shared" si="38"/>
        <v>5688234.239530337</v>
      </c>
      <c r="AD72" s="59">
        <f t="shared" si="38"/>
        <v>5138041.7394050751</v>
      </c>
      <c r="AE72" s="59">
        <f t="shared" si="38"/>
        <v>3279335.4988588248</v>
      </c>
      <c r="AF72" s="59">
        <f t="shared" si="38"/>
        <v>2781279.3395586582</v>
      </c>
      <c r="AG72" s="59">
        <f t="shared" si="38"/>
        <v>3377254.9261826701</v>
      </c>
      <c r="AH72" s="59">
        <f t="shared" si="38"/>
        <v>3582259.1444636048</v>
      </c>
      <c r="AI72" s="59">
        <f t="shared" si="38"/>
        <v>3699640.0440649805</v>
      </c>
      <c r="AJ72" s="59">
        <f t="shared" si="38"/>
        <v>3794579.7918454064</v>
      </c>
      <c r="AK72" s="59">
        <f t="shared" si="38"/>
        <v>3913011.4163395558</v>
      </c>
      <c r="AL72" s="59">
        <f t="shared" si="38"/>
        <v>4011077.1555359154</v>
      </c>
      <c r="AM72" s="59">
        <f t="shared" si="38"/>
        <v>3974110.2115378911</v>
      </c>
      <c r="AN72" s="59">
        <f t="shared" si="38"/>
        <v>4374582.8021655949</v>
      </c>
      <c r="AO72" s="59">
        <f t="shared" si="38"/>
        <v>4025639.9383983696</v>
      </c>
      <c r="AP72" s="59">
        <f t="shared" si="38"/>
        <v>4071515.582310216</v>
      </c>
      <c r="AQ72" s="59">
        <f t="shared" si="38"/>
        <v>4218695.0771772321</v>
      </c>
      <c r="AR72" s="59">
        <f t="shared" si="38"/>
        <v>4253536.9428838929</v>
      </c>
      <c r="AS72" s="59">
        <f t="shared" si="38"/>
        <v>4168180.8479288379</v>
      </c>
      <c r="AT72" s="59">
        <f t="shared" si="38"/>
        <v>4034787.3137089005</v>
      </c>
      <c r="AU72" s="59">
        <f t="shared" si="38"/>
        <v>3666330.9960815543</v>
      </c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x14ac:dyDescent="0.35">
      <c r="A75" s="1"/>
      <c r="B75" s="1" t="s">
        <v>61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spans="1:60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  <row r="83" spans="1:60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spans="1:60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0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7" spans="1:60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spans="1:60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spans="1:60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</row>
    <row r="90" spans="1:60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</row>
    <row r="91" spans="1:60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pans="1:60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pans="1:60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pans="1:60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pans="1:60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pans="1:60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pans="1:60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pans="1:60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pans="1:60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pans="1:60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 t="s">
        <v>57</v>
      </c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pans="1:60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 t="s">
        <v>58</v>
      </c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pans="1:60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pans="1:60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 t="s">
        <v>59</v>
      </c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</row>
    <row r="104" spans="1:60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</row>
    <row r="105" spans="1:60" x14ac:dyDescent="0.35">
      <c r="A105" s="1"/>
      <c r="B105" s="1"/>
      <c r="C105" s="1"/>
      <c r="D105" s="1"/>
      <c r="E105" s="1"/>
      <c r="F105" s="1"/>
      <c r="G105" s="1"/>
      <c r="H105" s="1"/>
      <c r="I105" s="1">
        <f>33+30+26+25+21+34+20+29+35+31</f>
        <v>284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</row>
    <row r="106" spans="1:60" x14ac:dyDescent="0.35">
      <c r="A106" s="1"/>
      <c r="B106" s="1"/>
      <c r="C106" s="1"/>
      <c r="D106" s="1"/>
      <c r="E106" s="1"/>
      <c r="F106" s="1"/>
      <c r="G106" s="1"/>
      <c r="H106" s="1"/>
      <c r="I106" s="1">
        <f>I105/10</f>
        <v>28.4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spans="1:60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</row>
    <row r="108" spans="1:60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</row>
    <row r="109" spans="1:60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</row>
    <row r="110" spans="1:60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</row>
    <row r="111" spans="1:60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</row>
    <row r="112" spans="1:60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</row>
    <row r="113" spans="1:60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spans="1:60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</row>
    <row r="115" spans="1:60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</row>
    <row r="116" spans="1:60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</row>
    <row r="117" spans="1:60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</row>
    <row r="118" spans="1:60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</row>
    <row r="119" spans="1:60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</row>
    <row r="120" spans="1:60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</row>
    <row r="121" spans="1:60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</row>
    <row r="122" spans="1:60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</row>
    <row r="123" spans="1:60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</row>
    <row r="124" spans="1:60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</row>
    <row r="125" spans="1:60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</row>
    <row r="126" spans="1:60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</row>
    <row r="127" spans="1:60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</row>
    <row r="128" spans="1:60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</row>
    <row r="129" spans="1:60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</row>
    <row r="130" spans="1:60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</row>
    <row r="131" spans="1:60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</row>
    <row r="132" spans="1:60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</row>
  </sheetData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Datos!B55:AU55</xm:f>
              <xm:sqref>AV55</xm:sqref>
            </x14:sparkline>
          </x14:sparklines>
        </x14:sparklineGroup>
        <x14:sparklineGroup manualMax="0" manualMin="0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Datos!B53:AU53</xm:f>
              <xm:sqref>AX55</xm:sqref>
            </x14:sparkline>
          </x14:sparklines>
        </x14:sparklineGroup>
        <x14:sparklineGroup manualMax="0" manualMin="0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Datos!B53:AT53</xm:f>
              <xm:sqref>AW55</xm:sqref>
            </x14:sparkline>
          </x14:sparklines>
        </x14:sparklineGroup>
        <x14:sparklineGroup manualMax="0" manualMin="0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Datos!V36:AU36</xm:f>
              <xm:sqref>U36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5</vt:i4>
      </vt:variant>
    </vt:vector>
  </HeadingPairs>
  <TitlesOfParts>
    <vt:vector size="8" baseType="lpstr">
      <vt:lpstr>graf1</vt:lpstr>
      <vt:lpstr>graf2</vt:lpstr>
      <vt:lpstr>Datos</vt:lpstr>
      <vt:lpstr>graf3</vt:lpstr>
      <vt:lpstr>graf4</vt:lpstr>
      <vt:lpstr>graf5</vt:lpstr>
      <vt:lpstr>graf6</vt:lpstr>
      <vt:lpstr>graf7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Dra. Fierro-Renoy</dc:creator>
  <cp:lastModifiedBy>Elena</cp:lastModifiedBy>
  <dcterms:created xsi:type="dcterms:W3CDTF">2017-02-15T17:41:27Z</dcterms:created>
  <dcterms:modified xsi:type="dcterms:W3CDTF">2017-03-28T16:07:29Z</dcterms:modified>
</cp:coreProperties>
</file>